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guer\Documents\IEQ\"/>
    </mc:Choice>
  </mc:AlternateContent>
  <xr:revisionPtr revIDLastSave="0" documentId="13_ncr:1_{3687EA4B-2D53-4A38-882A-F0612E49BAD5}" xr6:coauthVersionLast="47" xr6:coauthVersionMax="47" xr10:uidLastSave="{00000000-0000-0000-0000-000000000000}"/>
  <bookViews>
    <workbookView xWindow="-28920" yWindow="-120" windowWidth="29040" windowHeight="16440" tabRatio="831" activeTab="16" xr2:uid="{00000000-000D-0000-FFFF-FFFF00000000}"/>
  </bookViews>
  <sheets>
    <sheet name="&gt;&gt;Resumen " sheetId="13" r:id="rId1"/>
    <sheet name="&gt;&gt; PL Fuente EEFF sep 14" sheetId="26" r:id="rId2"/>
    <sheet name="Proyección" sheetId="31" r:id="rId3"/>
    <sheet name="&gt;&gt;LP Modelo " sheetId="1" r:id="rId4"/>
    <sheet name="Activos" sheetId="14" r:id="rId5"/>
    <sheet name="Pasivos" sheetId="18" r:id="rId6"/>
    <sheet name="WACC" sheetId="32" r:id="rId7"/>
    <sheet name="&gt;&gt;Ratios" sheetId="29" r:id="rId8"/>
    <sheet name="Flujos" sheetId="30" r:id="rId9"/>
    <sheet name="Multiplos" sheetId="12" r:id="rId10"/>
    <sheet name="V. Activos" sheetId="38" r:id="rId11"/>
    <sheet name="Multiplos Sector" sheetId="11" r:id="rId12"/>
    <sheet name="Ventas Sector" sheetId="9" r:id="rId13"/>
    <sheet name="DCF (2)" sheetId="33" state="hidden" r:id="rId14"/>
    <sheet name="Multiplos (2)" sheetId="35" state="hidden" r:id="rId15"/>
    <sheet name="&gt;&gt;PL Modelo  (2)" sheetId="36" state="hidden" r:id="rId16"/>
    <sheet name="Gráficas" sheetId="37" r:id="rId1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"11/19/2013 14:41:56"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8" i="12" l="1"/>
  <c r="G19" i="12"/>
  <c r="G18" i="12"/>
  <c r="D19" i="12"/>
  <c r="J48" i="1"/>
  <c r="J54" i="1"/>
  <c r="F14" i="30" s="1"/>
  <c r="H38" i="30"/>
  <c r="G38" i="30"/>
  <c r="F38" i="30"/>
  <c r="S7" i="31"/>
  <c r="Q7" i="31"/>
  <c r="F7" i="32"/>
  <c r="G10" i="1"/>
  <c r="H27" i="38" l="1"/>
  <c r="H26" i="38"/>
  <c r="H24" i="38"/>
  <c r="H25" i="38"/>
  <c r="H23" i="38"/>
  <c r="I11" i="38"/>
  <c r="G11" i="38"/>
  <c r="E11" i="38"/>
  <c r="I13" i="38" l="1"/>
  <c r="H43" i="13"/>
  <c r="I20" i="13"/>
  <c r="J16" i="14"/>
  <c r="J15" i="14"/>
  <c r="K15" i="14" s="1"/>
  <c r="L15" i="14" s="1"/>
  <c r="M15" i="14" s="1"/>
  <c r="N15" i="14" s="1"/>
  <c r="J8" i="14" l="1"/>
  <c r="J9" i="14"/>
  <c r="O45" i="36" l="1"/>
  <c r="H45" i="36"/>
  <c r="G45" i="36"/>
  <c r="F45" i="36"/>
  <c r="E45" i="36"/>
  <c r="D45" i="36"/>
  <c r="C45" i="36"/>
  <c r="H42" i="13"/>
  <c r="I42" i="13" s="1"/>
  <c r="B42" i="13"/>
  <c r="G39" i="13"/>
  <c r="H10" i="38"/>
  <c r="H9" i="38"/>
  <c r="H8" i="38"/>
  <c r="I14" i="38" l="1"/>
  <c r="J45" i="1"/>
  <c r="J45" i="36" s="1"/>
  <c r="I43" i="13"/>
  <c r="K45" i="1" l="1"/>
  <c r="K45" i="36" s="1"/>
  <c r="L45" i="1" l="1"/>
  <c r="M45" i="1" s="1"/>
  <c r="N45" i="1" s="1"/>
  <c r="H125" i="1"/>
  <c r="H125" i="36" s="1"/>
  <c r="H126" i="1"/>
  <c r="H126" i="36" s="1"/>
  <c r="N80" i="36"/>
  <c r="M80" i="36"/>
  <c r="L80" i="36"/>
  <c r="K80" i="36"/>
  <c r="J80" i="36"/>
  <c r="G126" i="36"/>
  <c r="G125" i="36"/>
  <c r="G124" i="36"/>
  <c r="F124" i="36"/>
  <c r="E124" i="36"/>
  <c r="D124" i="36"/>
  <c r="C124" i="36"/>
  <c r="G123" i="36"/>
  <c r="F123" i="36"/>
  <c r="E123" i="36"/>
  <c r="D123" i="36"/>
  <c r="C123" i="36"/>
  <c r="G115" i="36"/>
  <c r="G114" i="36"/>
  <c r="F114" i="36"/>
  <c r="F177" i="36" s="1"/>
  <c r="E114" i="36"/>
  <c r="D114" i="36"/>
  <c r="E177" i="36" s="1"/>
  <c r="C114" i="36"/>
  <c r="G113" i="36"/>
  <c r="G112" i="36"/>
  <c r="F112" i="36"/>
  <c r="E112" i="36"/>
  <c r="D112" i="36"/>
  <c r="C112" i="36"/>
  <c r="G111" i="36"/>
  <c r="G104" i="36"/>
  <c r="F104" i="36"/>
  <c r="F171" i="36" s="1"/>
  <c r="E104" i="36"/>
  <c r="D104" i="36"/>
  <c r="C104" i="36"/>
  <c r="H103" i="36"/>
  <c r="G103" i="36"/>
  <c r="H102" i="36"/>
  <c r="G102" i="36"/>
  <c r="F102" i="36"/>
  <c r="F170" i="36" s="1"/>
  <c r="E102" i="36"/>
  <c r="D102" i="36"/>
  <c r="E170" i="36" s="1"/>
  <c r="C102" i="36"/>
  <c r="G101" i="36"/>
  <c r="F101" i="36"/>
  <c r="E101" i="36"/>
  <c r="D101" i="36"/>
  <c r="C101" i="36"/>
  <c r="G100" i="36"/>
  <c r="F100" i="36"/>
  <c r="G99" i="36"/>
  <c r="G98" i="36"/>
  <c r="F98" i="36"/>
  <c r="F167" i="36" s="1"/>
  <c r="E98" i="36"/>
  <c r="D98" i="36"/>
  <c r="C98" i="36"/>
  <c r="H95" i="36"/>
  <c r="G95" i="36"/>
  <c r="E95" i="36"/>
  <c r="D95" i="36"/>
  <c r="H94" i="36"/>
  <c r="G94" i="36"/>
  <c r="F94" i="36"/>
  <c r="F172" i="36" s="1"/>
  <c r="E94" i="36"/>
  <c r="D94" i="36"/>
  <c r="C94" i="36"/>
  <c r="G93" i="36"/>
  <c r="F93" i="36"/>
  <c r="E93" i="36"/>
  <c r="D93" i="36"/>
  <c r="C93" i="36"/>
  <c r="G92" i="36"/>
  <c r="F92" i="36"/>
  <c r="E92" i="36"/>
  <c r="D92" i="36"/>
  <c r="C92" i="36"/>
  <c r="G91" i="36"/>
  <c r="F91" i="36"/>
  <c r="E91" i="36"/>
  <c r="D91" i="36"/>
  <c r="C91" i="36"/>
  <c r="G90" i="36"/>
  <c r="F90" i="36"/>
  <c r="E90" i="36"/>
  <c r="D90" i="36"/>
  <c r="C90" i="36"/>
  <c r="G89" i="36"/>
  <c r="F89" i="36"/>
  <c r="E89" i="36"/>
  <c r="D89" i="36"/>
  <c r="C89" i="36"/>
  <c r="G88" i="36"/>
  <c r="F88" i="36"/>
  <c r="E88" i="36"/>
  <c r="D88" i="36"/>
  <c r="C88" i="36"/>
  <c r="G85" i="36"/>
  <c r="G84" i="36"/>
  <c r="G83" i="36"/>
  <c r="F83" i="36"/>
  <c r="E83" i="36"/>
  <c r="D83" i="36"/>
  <c r="C83" i="36"/>
  <c r="G82" i="36"/>
  <c r="G81" i="36"/>
  <c r="F81" i="36"/>
  <c r="E81" i="36"/>
  <c r="D81" i="36"/>
  <c r="C81" i="36"/>
  <c r="G80" i="36"/>
  <c r="F80" i="36"/>
  <c r="E80" i="36"/>
  <c r="D80" i="36"/>
  <c r="E161" i="36" s="1"/>
  <c r="C80" i="36"/>
  <c r="G79" i="36"/>
  <c r="F79" i="36"/>
  <c r="E79" i="36"/>
  <c r="F160" i="36" s="1"/>
  <c r="D79" i="36"/>
  <c r="C79" i="36"/>
  <c r="H71" i="36"/>
  <c r="G71" i="36"/>
  <c r="F71" i="36"/>
  <c r="F64" i="36"/>
  <c r="F65" i="36" s="1"/>
  <c r="E64" i="36"/>
  <c r="E65" i="36" s="1"/>
  <c r="D64" i="36"/>
  <c r="C64" i="36"/>
  <c r="C65" i="36" s="1"/>
  <c r="H61" i="36"/>
  <c r="H62" i="36" s="1"/>
  <c r="G61" i="36"/>
  <c r="F61" i="36"/>
  <c r="E61" i="36"/>
  <c r="E62" i="36" s="1"/>
  <c r="D61" i="36"/>
  <c r="D62" i="36" s="1"/>
  <c r="C61" i="36"/>
  <c r="C62" i="36" s="1"/>
  <c r="H58" i="36"/>
  <c r="G58" i="36"/>
  <c r="F58" i="36"/>
  <c r="D58" i="36"/>
  <c r="C58" i="36"/>
  <c r="F57" i="36"/>
  <c r="E57" i="36"/>
  <c r="C52" i="36"/>
  <c r="C51" i="36"/>
  <c r="F44" i="36"/>
  <c r="E44" i="36"/>
  <c r="D44" i="36"/>
  <c r="C44" i="36"/>
  <c r="F43" i="36"/>
  <c r="E43" i="36"/>
  <c r="D43" i="36"/>
  <c r="C43" i="36"/>
  <c r="F19" i="36"/>
  <c r="E19" i="36"/>
  <c r="D19" i="36"/>
  <c r="C19" i="36"/>
  <c r="G18" i="36"/>
  <c r="F12" i="36"/>
  <c r="E12" i="36"/>
  <c r="D12" i="36"/>
  <c r="C12" i="36"/>
  <c r="G11" i="36"/>
  <c r="B188" i="36"/>
  <c r="B187" i="36"/>
  <c r="B186" i="36"/>
  <c r="B185" i="36"/>
  <c r="H184" i="36"/>
  <c r="F184" i="36"/>
  <c r="E184" i="36"/>
  <c r="D184" i="36"/>
  <c r="B184" i="36"/>
  <c r="N178" i="36"/>
  <c r="M178" i="36"/>
  <c r="L178" i="36"/>
  <c r="K178" i="36"/>
  <c r="B178" i="36"/>
  <c r="N177" i="36"/>
  <c r="M177" i="36"/>
  <c r="L177" i="36"/>
  <c r="K177" i="36"/>
  <c r="B177" i="36"/>
  <c r="B176" i="36"/>
  <c r="B175" i="36"/>
  <c r="B174" i="36"/>
  <c r="B173" i="36"/>
  <c r="B172" i="36"/>
  <c r="B171" i="36"/>
  <c r="B170" i="36"/>
  <c r="B169" i="36"/>
  <c r="B168" i="36"/>
  <c r="B167" i="36"/>
  <c r="B166" i="36"/>
  <c r="B165" i="36"/>
  <c r="B164" i="36"/>
  <c r="B163" i="36"/>
  <c r="B162" i="36"/>
  <c r="B161" i="36"/>
  <c r="B160" i="36"/>
  <c r="H153" i="36"/>
  <c r="G153" i="36"/>
  <c r="F153" i="36"/>
  <c r="E153" i="36"/>
  <c r="D153" i="36"/>
  <c r="C153" i="36"/>
  <c r="K147" i="36"/>
  <c r="L147" i="36" s="1"/>
  <c r="M147" i="36" s="1"/>
  <c r="N147" i="36" s="1"/>
  <c r="B147" i="36"/>
  <c r="K146" i="36"/>
  <c r="L146" i="36" s="1"/>
  <c r="M146" i="36" s="1"/>
  <c r="N146" i="36" s="1"/>
  <c r="B146" i="36"/>
  <c r="K145" i="36"/>
  <c r="L145" i="36" s="1"/>
  <c r="M145" i="36" s="1"/>
  <c r="N145" i="36" s="1"/>
  <c r="B145" i="36"/>
  <c r="K143" i="36"/>
  <c r="L143" i="36" s="1"/>
  <c r="M143" i="36" s="1"/>
  <c r="N143" i="36" s="1"/>
  <c r="K142" i="36"/>
  <c r="L142" i="36" s="1"/>
  <c r="M142" i="36" s="1"/>
  <c r="N142" i="36" s="1"/>
  <c r="K141" i="36"/>
  <c r="L141" i="36" s="1"/>
  <c r="M141" i="36" s="1"/>
  <c r="N141" i="36" s="1"/>
  <c r="K140" i="36"/>
  <c r="L140" i="36" s="1"/>
  <c r="M140" i="36" s="1"/>
  <c r="N140" i="36" s="1"/>
  <c r="K139" i="36"/>
  <c r="L139" i="36" s="1"/>
  <c r="M139" i="36" s="1"/>
  <c r="N139" i="36" s="1"/>
  <c r="L138" i="36"/>
  <c r="M138" i="36" s="1"/>
  <c r="N138" i="36" s="1"/>
  <c r="H136" i="36"/>
  <c r="G136" i="36"/>
  <c r="F136" i="36"/>
  <c r="E136" i="36"/>
  <c r="D136" i="36"/>
  <c r="C136" i="36"/>
  <c r="H119" i="36"/>
  <c r="G119" i="36"/>
  <c r="F119" i="36"/>
  <c r="E119" i="36"/>
  <c r="D119" i="36"/>
  <c r="C119" i="36"/>
  <c r="N77" i="36"/>
  <c r="M77" i="36"/>
  <c r="L77" i="36"/>
  <c r="K77" i="36"/>
  <c r="J77" i="36"/>
  <c r="H77" i="36"/>
  <c r="G77" i="36"/>
  <c r="F77" i="36"/>
  <c r="E77" i="36"/>
  <c r="D77" i="36"/>
  <c r="C77" i="36"/>
  <c r="N65" i="36"/>
  <c r="M65" i="36"/>
  <c r="L65" i="36"/>
  <c r="K65" i="36"/>
  <c r="J65" i="36"/>
  <c r="D65" i="36"/>
  <c r="N62" i="36"/>
  <c r="M62" i="36"/>
  <c r="L62" i="36"/>
  <c r="K62" i="36"/>
  <c r="J62" i="36"/>
  <c r="F62" i="36"/>
  <c r="B40" i="36"/>
  <c r="B39" i="36"/>
  <c r="B38" i="36"/>
  <c r="B37" i="36"/>
  <c r="B36" i="36"/>
  <c r="B32" i="36"/>
  <c r="B31" i="36"/>
  <c r="B30" i="36"/>
  <c r="B29" i="36"/>
  <c r="B25" i="36"/>
  <c r="B24" i="36"/>
  <c r="B23" i="36"/>
  <c r="B22" i="36"/>
  <c r="B18" i="36"/>
  <c r="B17" i="36"/>
  <c r="B16" i="36"/>
  <c r="B15" i="36"/>
  <c r="B31" i="35"/>
  <c r="K41" i="35"/>
  <c r="J41" i="35"/>
  <c r="E41" i="35"/>
  <c r="D41" i="35"/>
  <c r="D38" i="35"/>
  <c r="E38" i="35" s="1"/>
  <c r="H37" i="35"/>
  <c r="G37" i="35"/>
  <c r="D37" i="35"/>
  <c r="K33" i="35"/>
  <c r="J33" i="35"/>
  <c r="H33" i="35"/>
  <c r="G33" i="35"/>
  <c r="E33" i="35"/>
  <c r="D33" i="35"/>
  <c r="J31" i="35"/>
  <c r="K24" i="35"/>
  <c r="J24" i="35"/>
  <c r="D21" i="35"/>
  <c r="E21" i="35" s="1"/>
  <c r="G20" i="35"/>
  <c r="H20" i="35" s="1"/>
  <c r="D20" i="35"/>
  <c r="K16" i="35"/>
  <c r="J16" i="35"/>
  <c r="H16" i="35"/>
  <c r="G16" i="35"/>
  <c r="E16" i="35"/>
  <c r="D16" i="35"/>
  <c r="F21" i="33"/>
  <c r="G21" i="33" s="1"/>
  <c r="H21" i="33" s="1"/>
  <c r="I21" i="33" s="1"/>
  <c r="J21" i="33" s="1"/>
  <c r="J19" i="33"/>
  <c r="J22" i="33" s="1"/>
  <c r="I19" i="33"/>
  <c r="I25" i="33" s="1"/>
  <c r="H19" i="33"/>
  <c r="H25" i="33" s="1"/>
  <c r="G19" i="33"/>
  <c r="G25" i="33" s="1"/>
  <c r="F19" i="33"/>
  <c r="F22" i="33" s="1"/>
  <c r="F12" i="33"/>
  <c r="B1" i="33"/>
  <c r="E175" i="36" l="1"/>
  <c r="E26" i="36"/>
  <c r="E33" i="36" s="1"/>
  <c r="D169" i="36"/>
  <c r="E185" i="36"/>
  <c r="D186" i="36"/>
  <c r="K161" i="36"/>
  <c r="N161" i="36"/>
  <c r="M161" i="36"/>
  <c r="L45" i="36"/>
  <c r="M45" i="36"/>
  <c r="F26" i="36"/>
  <c r="F33" i="36" s="1"/>
  <c r="D170" i="36"/>
  <c r="E186" i="36"/>
  <c r="F161" i="36"/>
  <c r="E173" i="36"/>
  <c r="D185" i="36"/>
  <c r="D39" i="35"/>
  <c r="E164" i="36"/>
  <c r="H172" i="36"/>
  <c r="E169" i="36"/>
  <c r="H170" i="36"/>
  <c r="F175" i="36"/>
  <c r="F185" i="36"/>
  <c r="J66" i="36"/>
  <c r="E46" i="36"/>
  <c r="F51" i="37" s="1"/>
  <c r="G86" i="36"/>
  <c r="G105" i="36"/>
  <c r="G96" i="36"/>
  <c r="G116" i="36"/>
  <c r="G121" i="36" s="1"/>
  <c r="F162" i="36"/>
  <c r="F164" i="36"/>
  <c r="D172" i="36"/>
  <c r="D167" i="36"/>
  <c r="F169" i="36"/>
  <c r="D175" i="36"/>
  <c r="E37" i="35"/>
  <c r="F40" i="36"/>
  <c r="C46" i="36"/>
  <c r="D51" i="37" s="1"/>
  <c r="F59" i="36"/>
  <c r="L161" i="36"/>
  <c r="D96" i="36"/>
  <c r="E183" i="36"/>
  <c r="E167" i="36"/>
  <c r="D40" i="36"/>
  <c r="E40" i="36"/>
  <c r="E39" i="35"/>
  <c r="E171" i="36"/>
  <c r="D171" i="36"/>
  <c r="D22" i="35"/>
  <c r="C26" i="36"/>
  <c r="C33" i="36" s="1"/>
  <c r="E96" i="36"/>
  <c r="E172" i="36"/>
  <c r="D46" i="36"/>
  <c r="E51" i="37" s="1"/>
  <c r="F46" i="36"/>
  <c r="G51" i="37" s="1"/>
  <c r="E160" i="36"/>
  <c r="E162" i="36"/>
  <c r="D164" i="36"/>
  <c r="D161" i="36"/>
  <c r="D183" i="36"/>
  <c r="D177" i="36"/>
  <c r="F186" i="36"/>
  <c r="E66" i="36"/>
  <c r="K66" i="36"/>
  <c r="C66" i="36"/>
  <c r="M66" i="36"/>
  <c r="D66" i="36"/>
  <c r="N66" i="36"/>
  <c r="L66" i="36"/>
  <c r="F183" i="36"/>
  <c r="D160" i="36"/>
  <c r="D162" i="36"/>
  <c r="F66" i="36"/>
  <c r="D26" i="36"/>
  <c r="D33" i="36" s="1"/>
  <c r="K153" i="36"/>
  <c r="K136" i="36"/>
  <c r="J153" i="36"/>
  <c r="J136" i="36"/>
  <c r="N153" i="36"/>
  <c r="N136" i="36"/>
  <c r="L153" i="36"/>
  <c r="L136" i="36"/>
  <c r="M136" i="36"/>
  <c r="M153" i="36"/>
  <c r="E20" i="35"/>
  <c r="E22" i="35" s="1"/>
  <c r="F23" i="33"/>
  <c r="H22" i="33"/>
  <c r="I22" i="33"/>
  <c r="J25" i="33"/>
  <c r="G22" i="33"/>
  <c r="G23" i="33" s="1"/>
  <c r="F25" i="33"/>
  <c r="G149" i="36" l="1"/>
  <c r="N45" i="36"/>
  <c r="H23" i="33"/>
  <c r="D38" i="12"/>
  <c r="I23" i="33" l="1"/>
  <c r="E7" i="13"/>
  <c r="F12" i="30"/>
  <c r="J23" i="33" l="1"/>
  <c r="D21" i="12"/>
  <c r="E21" i="12" s="1"/>
  <c r="K41" i="12"/>
  <c r="J41" i="12"/>
  <c r="E41" i="12"/>
  <c r="D41" i="12"/>
  <c r="K24" i="12"/>
  <c r="J24" i="12"/>
  <c r="Z28" i="31"/>
  <c r="Z27" i="31"/>
  <c r="Z26" i="31"/>
  <c r="H53" i="1"/>
  <c r="H53" i="36" s="1"/>
  <c r="E53" i="1" l="1"/>
  <c r="E53" i="36" s="1"/>
  <c r="D53" i="1"/>
  <c r="C53" i="1"/>
  <c r="C53" i="36" s="1"/>
  <c r="F53" i="1"/>
  <c r="F53" i="36" s="1"/>
  <c r="D53" i="36" l="1"/>
  <c r="E9" i="13"/>
  <c r="V7" i="31" l="1"/>
  <c r="E42" i="32" l="1"/>
  <c r="F42" i="32" s="1"/>
  <c r="E43" i="32"/>
  <c r="F43" i="32" s="1"/>
  <c r="E41" i="32"/>
  <c r="F41" i="32" s="1"/>
  <c r="C5" i="18"/>
  <c r="F183" i="1"/>
  <c r="E183" i="1"/>
  <c r="D183" i="1"/>
  <c r="H19" i="14"/>
  <c r="H18" i="14"/>
  <c r="H17" i="14"/>
  <c r="H16" i="14"/>
  <c r="J103" i="1"/>
  <c r="J102" i="1"/>
  <c r="F51" i="1"/>
  <c r="F51" i="36" s="1"/>
  <c r="F156" i="36" s="1"/>
  <c r="D51" i="1"/>
  <c r="D51" i="36" s="1"/>
  <c r="D156" i="36" s="1"/>
  <c r="E51" i="1"/>
  <c r="E51" i="36" s="1"/>
  <c r="E156" i="36" s="1"/>
  <c r="E20" i="14"/>
  <c r="F20" i="14"/>
  <c r="G20" i="14"/>
  <c r="D20" i="14"/>
  <c r="J94" i="1"/>
  <c r="E41" i="14"/>
  <c r="F41" i="14"/>
  <c r="G41" i="14"/>
  <c r="H41" i="14"/>
  <c r="D41" i="14"/>
  <c r="D40" i="14"/>
  <c r="F31" i="14"/>
  <c r="G31" i="14"/>
  <c r="H31" i="14"/>
  <c r="E31" i="14"/>
  <c r="D31" i="14"/>
  <c r="D30" i="14"/>
  <c r="J95" i="1"/>
  <c r="B9" i="14"/>
  <c r="B34" i="14" s="1"/>
  <c r="B10" i="14"/>
  <c r="B35" i="14" s="1"/>
  <c r="B11" i="14"/>
  <c r="B36" i="14" s="1"/>
  <c r="B12" i="14"/>
  <c r="B37" i="14" s="1"/>
  <c r="B8" i="14"/>
  <c r="B15" i="14" s="1"/>
  <c r="K95" i="1" l="1"/>
  <c r="K173" i="1" s="1"/>
  <c r="J95" i="36"/>
  <c r="K103" i="1"/>
  <c r="J103" i="36"/>
  <c r="K94" i="1"/>
  <c r="K172" i="1" s="1"/>
  <c r="J94" i="36"/>
  <c r="K102" i="1"/>
  <c r="J102" i="36"/>
  <c r="J173" i="1"/>
  <c r="J172" i="1"/>
  <c r="B25" i="14"/>
  <c r="B24" i="14"/>
  <c r="B22" i="14"/>
  <c r="B23" i="14"/>
  <c r="B26" i="14"/>
  <c r="H20" i="14"/>
  <c r="B18" i="14"/>
  <c r="B17" i="14"/>
  <c r="B16" i="14"/>
  <c r="B19" i="14"/>
  <c r="F48" i="14"/>
  <c r="G48" i="14"/>
  <c r="E48" i="14"/>
  <c r="L103" i="1" l="1"/>
  <c r="K103" i="36"/>
  <c r="J170" i="36"/>
  <c r="J172" i="36"/>
  <c r="J173" i="36"/>
  <c r="L102" i="1"/>
  <c r="K102" i="36"/>
  <c r="K170" i="36" s="1"/>
  <c r="L94" i="1"/>
  <c r="K94" i="36"/>
  <c r="K172" i="36" s="1"/>
  <c r="L95" i="1"/>
  <c r="K95" i="36"/>
  <c r="K173" i="36" s="1"/>
  <c r="L34" i="31"/>
  <c r="L33" i="31"/>
  <c r="L32" i="31"/>
  <c r="L9" i="31"/>
  <c r="L8" i="31"/>
  <c r="L7" i="31"/>
  <c r="L21" i="31"/>
  <c r="L15" i="31" s="1"/>
  <c r="L20" i="31"/>
  <c r="L19" i="31"/>
  <c r="L14" i="31" l="1"/>
  <c r="M94" i="1"/>
  <c r="M172" i="1" s="1"/>
  <c r="L94" i="36"/>
  <c r="L172" i="36" s="1"/>
  <c r="L172" i="1"/>
  <c r="M95" i="1"/>
  <c r="L95" i="36"/>
  <c r="L173" i="1"/>
  <c r="M102" i="1"/>
  <c r="L102" i="36"/>
  <c r="L170" i="36" s="1"/>
  <c r="M103" i="1"/>
  <c r="L103" i="36"/>
  <c r="L13" i="31"/>
  <c r="N102" i="1" l="1"/>
  <c r="N102" i="36" s="1"/>
  <c r="M102" i="36"/>
  <c r="M170" i="36" s="1"/>
  <c r="N95" i="1"/>
  <c r="N95" i="36" s="1"/>
  <c r="M95" i="36"/>
  <c r="M173" i="1"/>
  <c r="N103" i="1"/>
  <c r="N103" i="36" s="1"/>
  <c r="M103" i="36"/>
  <c r="L173" i="36"/>
  <c r="N94" i="1"/>
  <c r="N94" i="36" s="1"/>
  <c r="M94" i="36"/>
  <c r="N172" i="36" s="1"/>
  <c r="C111" i="1"/>
  <c r="C111" i="36" s="1"/>
  <c r="C113" i="1"/>
  <c r="C113" i="36" s="1"/>
  <c r="C115" i="1"/>
  <c r="C115" i="36" s="1"/>
  <c r="C71" i="1"/>
  <c r="C71" i="36" s="1"/>
  <c r="C57" i="1"/>
  <c r="C57" i="36" s="1"/>
  <c r="C59" i="36" s="1"/>
  <c r="C82" i="1"/>
  <c r="C82" i="36" s="1"/>
  <c r="G16" i="1"/>
  <c r="G16" i="36" s="1"/>
  <c r="G17" i="1"/>
  <c r="G17" i="36" s="1"/>
  <c r="G15" i="1"/>
  <c r="G15" i="36" s="1"/>
  <c r="G10" i="36"/>
  <c r="G9" i="1"/>
  <c r="G9" i="36" s="1"/>
  <c r="G8" i="1"/>
  <c r="G8" i="36" s="1"/>
  <c r="H15" i="1"/>
  <c r="H15" i="36" s="1"/>
  <c r="H16" i="1"/>
  <c r="H16" i="36" s="1"/>
  <c r="H17" i="1"/>
  <c r="H17" i="36" s="1"/>
  <c r="H10" i="1"/>
  <c r="H10" i="36" s="1"/>
  <c r="H9" i="1"/>
  <c r="H9" i="36" s="1"/>
  <c r="H8" i="1"/>
  <c r="H8" i="36" s="1"/>
  <c r="H22" i="36" s="1"/>
  <c r="H29" i="36" s="1"/>
  <c r="N34" i="31"/>
  <c r="N33" i="31"/>
  <c r="N32" i="31"/>
  <c r="E40" i="1"/>
  <c r="F40" i="1"/>
  <c r="F26" i="1"/>
  <c r="E26" i="1"/>
  <c r="E33" i="1" s="1"/>
  <c r="D26" i="1"/>
  <c r="C26" i="1"/>
  <c r="F16" i="1"/>
  <c r="F16" i="36" s="1"/>
  <c r="F17" i="1"/>
  <c r="F17" i="36" s="1"/>
  <c r="F15" i="1"/>
  <c r="F15" i="36" s="1"/>
  <c r="E16" i="1"/>
  <c r="E16" i="36" s="1"/>
  <c r="E17" i="1"/>
  <c r="E17" i="36" s="1"/>
  <c r="E15" i="1"/>
  <c r="E15" i="36" s="1"/>
  <c r="D16" i="1"/>
  <c r="D16" i="36" s="1"/>
  <c r="D17" i="1"/>
  <c r="D17" i="36" s="1"/>
  <c r="D15" i="1"/>
  <c r="D15" i="36" s="1"/>
  <c r="C17" i="1"/>
  <c r="C17" i="36" s="1"/>
  <c r="C16" i="1"/>
  <c r="C16" i="36" s="1"/>
  <c r="C15" i="1"/>
  <c r="C15" i="36" s="1"/>
  <c r="M33" i="31"/>
  <c r="K34" i="31"/>
  <c r="K33" i="31"/>
  <c r="K32" i="31"/>
  <c r="I34" i="31"/>
  <c r="I33" i="31"/>
  <c r="I32" i="31"/>
  <c r="G34" i="31"/>
  <c r="G33" i="31"/>
  <c r="G32" i="31"/>
  <c r="L27" i="31"/>
  <c r="M27" i="31" s="1"/>
  <c r="J28" i="31"/>
  <c r="J27" i="31"/>
  <c r="J26" i="31"/>
  <c r="H28" i="31"/>
  <c r="H27" i="31"/>
  <c r="K27" i="31" s="1"/>
  <c r="H26" i="31"/>
  <c r="F28" i="31"/>
  <c r="F27" i="31"/>
  <c r="F26" i="31"/>
  <c r="D27" i="31"/>
  <c r="D28" i="31"/>
  <c r="D26" i="31"/>
  <c r="F10" i="1"/>
  <c r="F10" i="36" s="1"/>
  <c r="F24" i="36" s="1"/>
  <c r="F31" i="36" s="1"/>
  <c r="F9" i="1"/>
  <c r="F9" i="36" s="1"/>
  <c r="F8" i="1"/>
  <c r="F8" i="36" s="1"/>
  <c r="E10" i="1"/>
  <c r="E10" i="36" s="1"/>
  <c r="E9" i="1"/>
  <c r="E9" i="36" s="1"/>
  <c r="E8" i="1"/>
  <c r="E8" i="36" s="1"/>
  <c r="D10" i="1"/>
  <c r="D10" i="36" s="1"/>
  <c r="D9" i="1"/>
  <c r="D8" i="1"/>
  <c r="D8" i="36" s="1"/>
  <c r="C10" i="1"/>
  <c r="C10" i="36" s="1"/>
  <c r="C24" i="36" s="1"/>
  <c r="C31" i="36" s="1"/>
  <c r="C9" i="1"/>
  <c r="C9" i="36" s="1"/>
  <c r="C8" i="1"/>
  <c r="C8" i="36" s="1"/>
  <c r="N21" i="31"/>
  <c r="N20" i="31"/>
  <c r="N19" i="31"/>
  <c r="E31" i="31"/>
  <c r="E25" i="31"/>
  <c r="E18" i="31"/>
  <c r="E12" i="31"/>
  <c r="B33" i="31"/>
  <c r="B34" i="31"/>
  <c r="B32" i="31"/>
  <c r="B27" i="31"/>
  <c r="B28" i="31"/>
  <c r="B20" i="31"/>
  <c r="B21" i="31"/>
  <c r="B19" i="31"/>
  <c r="B26" i="31"/>
  <c r="B15" i="31"/>
  <c r="B14" i="31"/>
  <c r="B13" i="31"/>
  <c r="N9" i="31"/>
  <c r="N8" i="31"/>
  <c r="N7" i="31"/>
  <c r="G53" i="1"/>
  <c r="G53" i="36" s="1"/>
  <c r="C116" i="36" l="1"/>
  <c r="C121" i="36" s="1"/>
  <c r="K28" i="31"/>
  <c r="N172" i="1"/>
  <c r="H23" i="36"/>
  <c r="H30" i="36" s="1"/>
  <c r="D36" i="36"/>
  <c r="E6" i="37"/>
  <c r="D22" i="36"/>
  <c r="D29" i="36" s="1"/>
  <c r="D6" i="37"/>
  <c r="C22" i="36"/>
  <c r="C29" i="36" s="1"/>
  <c r="F36" i="36"/>
  <c r="E22" i="36"/>
  <c r="E29" i="36" s="1"/>
  <c r="F6" i="37"/>
  <c r="E36" i="36"/>
  <c r="F23" i="36"/>
  <c r="F30" i="36" s="1"/>
  <c r="F37" i="36"/>
  <c r="G7" i="37"/>
  <c r="H24" i="36"/>
  <c r="H31" i="36" s="1"/>
  <c r="H6" i="37"/>
  <c r="G22" i="36"/>
  <c r="G29" i="36" s="1"/>
  <c r="G36" i="36"/>
  <c r="N173" i="36"/>
  <c r="F7" i="37"/>
  <c r="E23" i="36"/>
  <c r="E30" i="36" s="1"/>
  <c r="D23" i="1"/>
  <c r="D30" i="1" s="1"/>
  <c r="D9" i="36"/>
  <c r="E7" i="37" s="1"/>
  <c r="F38" i="36"/>
  <c r="E24" i="36"/>
  <c r="E31" i="36" s="1"/>
  <c r="E38" i="36"/>
  <c r="G24" i="36"/>
  <c r="G31" i="36" s="1"/>
  <c r="G38" i="36"/>
  <c r="N170" i="36"/>
  <c r="H7" i="37"/>
  <c r="G37" i="36"/>
  <c r="G23" i="36"/>
  <c r="G30" i="36" s="1"/>
  <c r="D7" i="37"/>
  <c r="C23" i="36"/>
  <c r="C30" i="36" s="1"/>
  <c r="D38" i="36"/>
  <c r="D24" i="36"/>
  <c r="D31" i="36" s="1"/>
  <c r="G6" i="37"/>
  <c r="F22" i="36"/>
  <c r="F29" i="36" s="1"/>
  <c r="M173" i="36"/>
  <c r="M172" i="36"/>
  <c r="N173" i="1"/>
  <c r="D22" i="1"/>
  <c r="D29" i="1" s="1"/>
  <c r="D24" i="1"/>
  <c r="D31" i="1" s="1"/>
  <c r="C11" i="1"/>
  <c r="E24" i="1"/>
  <c r="E31" i="1" s="1"/>
  <c r="G24" i="1"/>
  <c r="G31" i="1" s="1"/>
  <c r="F37" i="1"/>
  <c r="G37" i="1"/>
  <c r="E37" i="1"/>
  <c r="F38" i="1"/>
  <c r="C22" i="1"/>
  <c r="C29" i="1" s="1"/>
  <c r="D18" i="1"/>
  <c r="C23" i="1"/>
  <c r="C30" i="1" s="1"/>
  <c r="F36" i="1"/>
  <c r="C24" i="1"/>
  <c r="C31" i="1" s="1"/>
  <c r="D11" i="1"/>
  <c r="C18" i="1"/>
  <c r="E22" i="1"/>
  <c r="E23" i="1"/>
  <c r="E30" i="1" s="1"/>
  <c r="D36" i="1"/>
  <c r="E38" i="1"/>
  <c r="E36" i="1"/>
  <c r="G23" i="1"/>
  <c r="G30" i="1" s="1"/>
  <c r="F22" i="1"/>
  <c r="F23" i="1"/>
  <c r="F30" i="1" s="1"/>
  <c r="F24" i="1"/>
  <c r="F31" i="1" s="1"/>
  <c r="D37" i="1"/>
  <c r="G38" i="1"/>
  <c r="D38" i="1"/>
  <c r="G19" i="1"/>
  <c r="G36" i="1"/>
  <c r="G12" i="1"/>
  <c r="G40" i="1" s="1"/>
  <c r="G22" i="1"/>
  <c r="Q27" i="31"/>
  <c r="N27" i="31"/>
  <c r="N35" i="31"/>
  <c r="M32" i="31"/>
  <c r="O32" i="31" s="1"/>
  <c r="M34" i="31"/>
  <c r="O34" i="31" s="1"/>
  <c r="H23" i="1"/>
  <c r="H30" i="1" s="1"/>
  <c r="H24" i="1"/>
  <c r="H31" i="1" s="1"/>
  <c r="H22" i="1"/>
  <c r="F18" i="1"/>
  <c r="E18" i="1"/>
  <c r="E18" i="36" s="1"/>
  <c r="E20" i="36" s="1"/>
  <c r="K26" i="31"/>
  <c r="O33" i="31"/>
  <c r="I28" i="31"/>
  <c r="I27" i="31"/>
  <c r="I26" i="31"/>
  <c r="G27" i="31"/>
  <c r="G28" i="31"/>
  <c r="G26" i="31"/>
  <c r="F11" i="1"/>
  <c r="E11" i="1"/>
  <c r="E11" i="36" s="1"/>
  <c r="O27" i="31" l="1"/>
  <c r="D23" i="36"/>
  <c r="D30" i="36" s="1"/>
  <c r="D37" i="36"/>
  <c r="E37" i="36"/>
  <c r="F50" i="37"/>
  <c r="E146" i="36"/>
  <c r="E141" i="36"/>
  <c r="F20" i="1"/>
  <c r="F18" i="36"/>
  <c r="F20" i="36" s="1"/>
  <c r="F13" i="1"/>
  <c r="F11" i="36"/>
  <c r="G13" i="1"/>
  <c r="D6" i="35" s="1"/>
  <c r="G12" i="36"/>
  <c r="D13" i="1"/>
  <c r="D11" i="36"/>
  <c r="E39" i="36" s="1"/>
  <c r="D20" i="1"/>
  <c r="D18" i="36"/>
  <c r="D20" i="36" s="1"/>
  <c r="C13" i="1"/>
  <c r="C11" i="36"/>
  <c r="G20" i="1"/>
  <c r="G19" i="36"/>
  <c r="G20" i="36" s="1"/>
  <c r="H50" i="37" s="1"/>
  <c r="E13" i="36"/>
  <c r="E25" i="36"/>
  <c r="C20" i="1"/>
  <c r="C18" i="36"/>
  <c r="C20" i="36" s="1"/>
  <c r="E39" i="1"/>
  <c r="D39" i="1"/>
  <c r="C25" i="1"/>
  <c r="C32" i="1" s="1"/>
  <c r="D25" i="1"/>
  <c r="D32" i="1" s="1"/>
  <c r="G26" i="1"/>
  <c r="G27" i="1" s="1"/>
  <c r="E25" i="1"/>
  <c r="E32" i="1" s="1"/>
  <c r="F29" i="1"/>
  <c r="E29" i="1"/>
  <c r="F25" i="1"/>
  <c r="F32" i="1" s="1"/>
  <c r="E20" i="1"/>
  <c r="F39" i="1"/>
  <c r="G29" i="1"/>
  <c r="E13" i="1"/>
  <c r="R27" i="31"/>
  <c r="S27" i="31"/>
  <c r="U27" i="31" s="1"/>
  <c r="W27" i="31" s="1"/>
  <c r="Y27" i="31" s="1"/>
  <c r="H29" i="1"/>
  <c r="D5" i="12" l="1"/>
  <c r="D5" i="35"/>
  <c r="D17" i="35" s="1"/>
  <c r="E139" i="36"/>
  <c r="F49" i="37"/>
  <c r="E138" i="36"/>
  <c r="C25" i="36"/>
  <c r="C13" i="36"/>
  <c r="D13" i="36"/>
  <c r="E41" i="36" s="1"/>
  <c r="D25" i="36"/>
  <c r="D39" i="36"/>
  <c r="F13" i="36"/>
  <c r="F39" i="36"/>
  <c r="F25" i="36"/>
  <c r="D34" i="12"/>
  <c r="D34" i="35"/>
  <c r="E50" i="37"/>
  <c r="D146" i="36"/>
  <c r="D141" i="36"/>
  <c r="G26" i="36"/>
  <c r="G13" i="36"/>
  <c r="G50" i="37"/>
  <c r="F141" i="36"/>
  <c r="F146" i="36"/>
  <c r="C145" i="36"/>
  <c r="C141" i="36"/>
  <c r="C146" i="36"/>
  <c r="D50" i="37"/>
  <c r="E32" i="36"/>
  <c r="E27" i="36"/>
  <c r="G34" i="35"/>
  <c r="G17" i="35"/>
  <c r="C27" i="1"/>
  <c r="D27" i="1"/>
  <c r="E27" i="1"/>
  <c r="F27" i="1"/>
  <c r="F138" i="36" l="1"/>
  <c r="G49" i="37"/>
  <c r="F41" i="36"/>
  <c r="F139" i="36"/>
  <c r="C140" i="36"/>
  <c r="C147" i="36"/>
  <c r="C139" i="36"/>
  <c r="C138" i="36"/>
  <c r="D49" i="37"/>
  <c r="E48" i="36"/>
  <c r="E34" i="36"/>
  <c r="H49" i="37"/>
  <c r="G41" i="36"/>
  <c r="F32" i="36"/>
  <c r="F27" i="36"/>
  <c r="D32" i="36"/>
  <c r="D27" i="36"/>
  <c r="C32" i="36"/>
  <c r="C27" i="36"/>
  <c r="G27" i="36"/>
  <c r="G40" i="36"/>
  <c r="G33" i="36"/>
  <c r="D138" i="36"/>
  <c r="D41" i="36"/>
  <c r="E49" i="37"/>
  <c r="D139" i="36"/>
  <c r="B173" i="1"/>
  <c r="E173" i="1"/>
  <c r="D169" i="1"/>
  <c r="D170" i="1"/>
  <c r="F172" i="1"/>
  <c r="E172" i="1"/>
  <c r="D172" i="1"/>
  <c r="B172" i="1"/>
  <c r="B168" i="1"/>
  <c r="B169" i="1"/>
  <c r="E169" i="1"/>
  <c r="F169" i="1"/>
  <c r="B161" i="1"/>
  <c r="D161" i="1"/>
  <c r="E161" i="1"/>
  <c r="F161" i="1"/>
  <c r="K161" i="1"/>
  <c r="L161" i="1"/>
  <c r="M161" i="1"/>
  <c r="N161" i="1"/>
  <c r="F156" i="1"/>
  <c r="E156" i="1"/>
  <c r="D156" i="1"/>
  <c r="F125" i="1"/>
  <c r="F125" i="36" s="1"/>
  <c r="E125" i="1"/>
  <c r="E125" i="36" s="1"/>
  <c r="D125" i="1"/>
  <c r="D125" i="36" s="1"/>
  <c r="C125" i="1"/>
  <c r="C125" i="36" s="1"/>
  <c r="H85" i="1"/>
  <c r="H85" i="36" s="1"/>
  <c r="B37" i="26"/>
  <c r="E30" i="26"/>
  <c r="H93" i="1" s="1"/>
  <c r="H51" i="1" l="1"/>
  <c r="H93" i="36"/>
  <c r="E187" i="36"/>
  <c r="D187" i="36"/>
  <c r="F52" i="37"/>
  <c r="E49" i="36"/>
  <c r="G34" i="36"/>
  <c r="D48" i="36"/>
  <c r="D34" i="36"/>
  <c r="F187" i="36"/>
  <c r="H187" i="36"/>
  <c r="C34" i="36"/>
  <c r="C48" i="36"/>
  <c r="F48" i="36"/>
  <c r="F34" i="36"/>
  <c r="C85" i="1"/>
  <c r="C85" i="36" s="1"/>
  <c r="C100" i="1"/>
  <c r="C100" i="36" s="1"/>
  <c r="D168" i="36" s="1"/>
  <c r="D85" i="1"/>
  <c r="D85" i="36" s="1"/>
  <c r="D100" i="1"/>
  <c r="D100" i="36" s="1"/>
  <c r="E85" i="1"/>
  <c r="E85" i="36" s="1"/>
  <c r="E100" i="1"/>
  <c r="F103" i="1"/>
  <c r="F103" i="36" s="1"/>
  <c r="C36" i="26"/>
  <c r="C37" i="26" s="1"/>
  <c r="H101" i="1"/>
  <c r="H100" i="1"/>
  <c r="H99" i="1"/>
  <c r="E33" i="26"/>
  <c r="H98" i="1" s="1"/>
  <c r="C30" i="26"/>
  <c r="H172" i="1"/>
  <c r="E27" i="26"/>
  <c r="H92" i="1" s="1"/>
  <c r="H92" i="36" s="1"/>
  <c r="E25" i="26"/>
  <c r="H91" i="1" s="1"/>
  <c r="H91" i="36" s="1"/>
  <c r="E23" i="26"/>
  <c r="H90" i="1" s="1"/>
  <c r="H90" i="36" s="1"/>
  <c r="E21" i="26"/>
  <c r="H89" i="1" s="1"/>
  <c r="H89" i="36" s="1"/>
  <c r="E20" i="26"/>
  <c r="E166" i="36" l="1"/>
  <c r="D143" i="36"/>
  <c r="F168" i="1"/>
  <c r="E100" i="36"/>
  <c r="F168" i="36" s="1"/>
  <c r="E143" i="36"/>
  <c r="D166" i="36"/>
  <c r="C143" i="36"/>
  <c r="H51" i="36"/>
  <c r="H156" i="36" s="1"/>
  <c r="G51" i="1"/>
  <c r="G51" i="36" s="1"/>
  <c r="E29" i="26"/>
  <c r="E168" i="36"/>
  <c r="J98" i="1"/>
  <c r="H98" i="36"/>
  <c r="J100" i="1"/>
  <c r="K100" i="1" s="1"/>
  <c r="H100" i="36"/>
  <c r="H168" i="36" s="1"/>
  <c r="J101" i="1"/>
  <c r="H101" i="36"/>
  <c r="H169" i="36" s="1"/>
  <c r="J99" i="1"/>
  <c r="J99" i="36" s="1"/>
  <c r="H99" i="36"/>
  <c r="G52" i="37"/>
  <c r="F68" i="36"/>
  <c r="F49" i="36"/>
  <c r="E52" i="37"/>
  <c r="D49" i="36"/>
  <c r="D52" i="37"/>
  <c r="C54" i="36"/>
  <c r="C55" i="36" s="1"/>
  <c r="C49" i="36"/>
  <c r="C68" i="36"/>
  <c r="K101" i="1"/>
  <c r="K101" i="36" s="1"/>
  <c r="J101" i="36"/>
  <c r="K98" i="1"/>
  <c r="J98" i="36"/>
  <c r="L101" i="1"/>
  <c r="H48" i="14"/>
  <c r="D168" i="1"/>
  <c r="H156" i="1"/>
  <c r="E103" i="1"/>
  <c r="E103" i="36" s="1"/>
  <c r="H169" i="1"/>
  <c r="E168" i="1"/>
  <c r="H168" i="1"/>
  <c r="H88" i="1"/>
  <c r="H88" i="36" s="1"/>
  <c r="F84" i="1"/>
  <c r="F84" i="36" s="1"/>
  <c r="F142" i="36" s="1"/>
  <c r="F99" i="1"/>
  <c r="F99" i="36" s="1"/>
  <c r="F105" i="36" s="1"/>
  <c r="J157" i="36" l="1"/>
  <c r="J52" i="1"/>
  <c r="J52" i="36" s="1"/>
  <c r="K100" i="36"/>
  <c r="L100" i="1"/>
  <c r="L100" i="36" s="1"/>
  <c r="K169" i="1"/>
  <c r="K99" i="1"/>
  <c r="K99" i="36" s="1"/>
  <c r="K157" i="36" s="1"/>
  <c r="H183" i="36"/>
  <c r="H96" i="36"/>
  <c r="J100" i="36"/>
  <c r="J168" i="36" s="1"/>
  <c r="H167" i="36"/>
  <c r="J168" i="1"/>
  <c r="K168" i="1"/>
  <c r="J157" i="1"/>
  <c r="J167" i="36"/>
  <c r="F72" i="36"/>
  <c r="F69" i="36"/>
  <c r="L98" i="1"/>
  <c r="K98" i="36"/>
  <c r="J169" i="36"/>
  <c r="K169" i="36"/>
  <c r="C69" i="36"/>
  <c r="C72" i="36"/>
  <c r="L169" i="1"/>
  <c r="L101" i="36"/>
  <c r="M101" i="1"/>
  <c r="K52" i="1"/>
  <c r="K52" i="36" s="1"/>
  <c r="K157" i="1"/>
  <c r="H183" i="1"/>
  <c r="L168" i="1"/>
  <c r="J169" i="1"/>
  <c r="D103" i="1"/>
  <c r="D103" i="36" s="1"/>
  <c r="H52" i="1"/>
  <c r="F95" i="1"/>
  <c r="F95" i="36" s="1"/>
  <c r="F82" i="1"/>
  <c r="F82" i="36" s="1"/>
  <c r="E99" i="1"/>
  <c r="E99" i="36" s="1"/>
  <c r="E105" i="36" s="1"/>
  <c r="E84" i="1"/>
  <c r="E84" i="36" s="1"/>
  <c r="E82" i="1"/>
  <c r="E82" i="36" s="1"/>
  <c r="C95" i="1"/>
  <c r="D84" i="1"/>
  <c r="D84" i="36" s="1"/>
  <c r="D82" i="1"/>
  <c r="D82" i="36" s="1"/>
  <c r="C84" i="1"/>
  <c r="C84" i="36" s="1"/>
  <c r="F140" i="36" l="1"/>
  <c r="D165" i="36"/>
  <c r="C86" i="36"/>
  <c r="C149" i="36" s="1"/>
  <c r="C142" i="36"/>
  <c r="E163" i="36"/>
  <c r="D86" i="36"/>
  <c r="D163" i="36"/>
  <c r="D140" i="36"/>
  <c r="D173" i="1"/>
  <c r="C95" i="36"/>
  <c r="E86" i="36"/>
  <c r="F163" i="36"/>
  <c r="E140" i="36"/>
  <c r="F173" i="36"/>
  <c r="F96" i="36"/>
  <c r="H173" i="36"/>
  <c r="F165" i="36"/>
  <c r="E142" i="36"/>
  <c r="E165" i="36"/>
  <c r="D142" i="36"/>
  <c r="L99" i="1"/>
  <c r="L99" i="36" s="1"/>
  <c r="L157" i="36" s="1"/>
  <c r="L168" i="36"/>
  <c r="M100" i="1"/>
  <c r="M100" i="36" s="1"/>
  <c r="K168" i="36"/>
  <c r="M169" i="1"/>
  <c r="M101" i="36"/>
  <c r="M169" i="36" s="1"/>
  <c r="F155" i="36"/>
  <c r="F73" i="36"/>
  <c r="M168" i="1"/>
  <c r="C73" i="36"/>
  <c r="C155" i="36"/>
  <c r="C158" i="36" s="1"/>
  <c r="M98" i="1"/>
  <c r="L98" i="36"/>
  <c r="K167" i="36"/>
  <c r="H157" i="1"/>
  <c r="H52" i="36"/>
  <c r="H157" i="36" s="1"/>
  <c r="L169" i="36"/>
  <c r="L157" i="1"/>
  <c r="M99" i="1"/>
  <c r="M99" i="36" s="1"/>
  <c r="M157" i="36" s="1"/>
  <c r="L52" i="1"/>
  <c r="L52" i="36" s="1"/>
  <c r="N101" i="1"/>
  <c r="D99" i="1"/>
  <c r="N100" i="1"/>
  <c r="H173" i="1"/>
  <c r="F173" i="1"/>
  <c r="G52" i="1"/>
  <c r="G52" i="36" s="1"/>
  <c r="C103" i="1"/>
  <c r="C103" i="36" s="1"/>
  <c r="F52" i="1"/>
  <c r="G33" i="29"/>
  <c r="G32" i="29"/>
  <c r="G31" i="29"/>
  <c r="G27" i="29"/>
  <c r="G26" i="29"/>
  <c r="G25" i="29"/>
  <c r="G22" i="29"/>
  <c r="G21" i="29"/>
  <c r="G20" i="29"/>
  <c r="G17" i="29"/>
  <c r="G16" i="29"/>
  <c r="F15" i="29"/>
  <c r="F14" i="29"/>
  <c r="F13" i="29"/>
  <c r="E15" i="29"/>
  <c r="E14" i="29"/>
  <c r="E13" i="29"/>
  <c r="D15" i="29"/>
  <c r="D14" i="29"/>
  <c r="D13" i="29"/>
  <c r="G13" i="29" s="1"/>
  <c r="F9" i="29"/>
  <c r="E9" i="29"/>
  <c r="D173" i="36" l="1"/>
  <c r="C96" i="36"/>
  <c r="G14" i="29"/>
  <c r="G15" i="29"/>
  <c r="E109" i="36"/>
  <c r="N168" i="1"/>
  <c r="N100" i="36"/>
  <c r="N168" i="36" s="1"/>
  <c r="L167" i="36"/>
  <c r="M168" i="36"/>
  <c r="N169" i="1"/>
  <c r="N101" i="36"/>
  <c r="N169" i="36" s="1"/>
  <c r="F157" i="1"/>
  <c r="F52" i="36"/>
  <c r="E52" i="1"/>
  <c r="D99" i="36"/>
  <c r="D105" i="36" s="1"/>
  <c r="D109" i="36" s="1"/>
  <c r="N98" i="1"/>
  <c r="N98" i="36" s="1"/>
  <c r="M98" i="36"/>
  <c r="C99" i="1"/>
  <c r="C99" i="36" s="1"/>
  <c r="C105" i="36" s="1"/>
  <c r="C109" i="36" s="1"/>
  <c r="M157" i="1"/>
  <c r="N99" i="1"/>
  <c r="N99" i="36" s="1"/>
  <c r="N157" i="36" s="1"/>
  <c r="M52" i="1"/>
  <c r="M52" i="36" s="1"/>
  <c r="D52" i="1"/>
  <c r="B187" i="1"/>
  <c r="B176" i="1"/>
  <c r="B170" i="1"/>
  <c r="E170" i="1"/>
  <c r="F170" i="1"/>
  <c r="K170" i="1"/>
  <c r="L170" i="1"/>
  <c r="M170" i="1"/>
  <c r="N170" i="1"/>
  <c r="B171" i="1"/>
  <c r="D171" i="1"/>
  <c r="E171" i="1"/>
  <c r="F171" i="1"/>
  <c r="B146" i="1"/>
  <c r="B147" i="1"/>
  <c r="B145" i="1"/>
  <c r="K146" i="1"/>
  <c r="L146" i="1" s="1"/>
  <c r="M146" i="1" s="1"/>
  <c r="N146" i="1" s="1"/>
  <c r="H84" i="1"/>
  <c r="H84" i="36" s="1"/>
  <c r="H165" i="36" s="1"/>
  <c r="E71" i="1"/>
  <c r="E71" i="36" s="1"/>
  <c r="D71" i="1"/>
  <c r="D71" i="36" s="1"/>
  <c r="F115" i="1"/>
  <c r="F115" i="36" s="1"/>
  <c r="E115" i="1"/>
  <c r="E115" i="36" s="1"/>
  <c r="F178" i="36" s="1"/>
  <c r="D115" i="1"/>
  <c r="D115" i="36" s="1"/>
  <c r="F113" i="1"/>
  <c r="F113" i="36" s="1"/>
  <c r="F147" i="36" s="1"/>
  <c r="E113" i="1"/>
  <c r="E113" i="36" s="1"/>
  <c r="D113" i="1"/>
  <c r="D113" i="36" s="1"/>
  <c r="F111" i="1"/>
  <c r="F111" i="36" s="1"/>
  <c r="E111" i="1"/>
  <c r="E111" i="36" s="1"/>
  <c r="D111" i="1"/>
  <c r="D111" i="36" s="1"/>
  <c r="C116" i="1"/>
  <c r="J125" i="1"/>
  <c r="H124" i="1"/>
  <c r="H124" i="36" s="1"/>
  <c r="H186" i="36" s="1"/>
  <c r="H123" i="1"/>
  <c r="H123" i="36" s="1"/>
  <c r="H185" i="36" s="1"/>
  <c r="F126" i="1"/>
  <c r="F126" i="36" s="1"/>
  <c r="H114" i="1"/>
  <c r="H114" i="36" s="1"/>
  <c r="H115" i="1"/>
  <c r="H115" i="36" s="1"/>
  <c r="H113" i="1"/>
  <c r="H113" i="36" s="1"/>
  <c r="H176" i="36" s="1"/>
  <c r="H112" i="1"/>
  <c r="H112" i="36" s="1"/>
  <c r="H175" i="36" s="1"/>
  <c r="H111" i="1"/>
  <c r="H111" i="36" s="1"/>
  <c r="H104" i="1"/>
  <c r="H104" i="36" s="1"/>
  <c r="J170" i="1"/>
  <c r="H83" i="1"/>
  <c r="H82" i="1"/>
  <c r="H82" i="36" s="1"/>
  <c r="H163" i="36" s="1"/>
  <c r="H80" i="1"/>
  <c r="H80" i="36" s="1"/>
  <c r="H81" i="1"/>
  <c r="H79" i="1"/>
  <c r="F85" i="1"/>
  <c r="F85" i="36" s="1"/>
  <c r="C86" i="1"/>
  <c r="D86" i="1"/>
  <c r="H64" i="1"/>
  <c r="E58" i="1"/>
  <c r="E58" i="36" s="1"/>
  <c r="E59" i="36" s="1"/>
  <c r="E68" i="36" s="1"/>
  <c r="D57" i="1"/>
  <c r="D57" i="36" s="1"/>
  <c r="D59" i="36" s="1"/>
  <c r="D68" i="36" s="1"/>
  <c r="H44" i="1"/>
  <c r="G44" i="1" s="1"/>
  <c r="G44" i="36" s="1"/>
  <c r="H43" i="1"/>
  <c r="D40" i="1"/>
  <c r="H19" i="1"/>
  <c r="B39" i="1"/>
  <c r="B38" i="1"/>
  <c r="B37" i="1"/>
  <c r="B36" i="1"/>
  <c r="B32" i="1"/>
  <c r="B31" i="1"/>
  <c r="B30" i="1"/>
  <c r="B29" i="1"/>
  <c r="B25" i="1"/>
  <c r="B24" i="1"/>
  <c r="B23" i="1"/>
  <c r="B22" i="1"/>
  <c r="B18" i="1"/>
  <c r="B17" i="1"/>
  <c r="B16" i="1"/>
  <c r="B15" i="1"/>
  <c r="H12" i="1"/>
  <c r="H12" i="36" s="1"/>
  <c r="C64" i="26"/>
  <c r="C52" i="26"/>
  <c r="C39" i="26"/>
  <c r="C28" i="26"/>
  <c r="H26" i="26"/>
  <c r="H57" i="1" s="1"/>
  <c r="H16" i="26"/>
  <c r="C17" i="26"/>
  <c r="H9" i="26"/>
  <c r="E174" i="36" l="1"/>
  <c r="D116" i="36"/>
  <c r="D174" i="36"/>
  <c r="D145" i="36"/>
  <c r="F176" i="36"/>
  <c r="E147" i="36"/>
  <c r="D72" i="36"/>
  <c r="D69" i="36"/>
  <c r="E116" i="36"/>
  <c r="F174" i="36"/>
  <c r="E145" i="36"/>
  <c r="E69" i="36"/>
  <c r="E72" i="36"/>
  <c r="F143" i="36"/>
  <c r="H166" i="36"/>
  <c r="F166" i="36"/>
  <c r="F179" i="36" s="1"/>
  <c r="F86" i="36"/>
  <c r="F116" i="36"/>
  <c r="F121" i="36" s="1"/>
  <c r="F145" i="36"/>
  <c r="E178" i="36"/>
  <c r="D178" i="36"/>
  <c r="C66" i="26"/>
  <c r="E176" i="36"/>
  <c r="D176" i="36"/>
  <c r="D147" i="36"/>
  <c r="G57" i="1"/>
  <c r="G57" i="36" s="1"/>
  <c r="G59" i="36" s="1"/>
  <c r="H57" i="36"/>
  <c r="H59" i="36" s="1"/>
  <c r="G64" i="1"/>
  <c r="G64" i="36" s="1"/>
  <c r="G65" i="36" s="1"/>
  <c r="G66" i="36" s="1"/>
  <c r="H64" i="36"/>
  <c r="H65" i="36" s="1"/>
  <c r="H66" i="36" s="1"/>
  <c r="H44" i="36"/>
  <c r="H81" i="36"/>
  <c r="H162" i="36" s="1"/>
  <c r="C8" i="18"/>
  <c r="J161" i="36"/>
  <c r="H161" i="36"/>
  <c r="H171" i="36"/>
  <c r="H105" i="36"/>
  <c r="J178" i="36"/>
  <c r="H178" i="36"/>
  <c r="G43" i="1"/>
  <c r="G43" i="36" s="1"/>
  <c r="G46" i="36" s="1"/>
  <c r="H43" i="36"/>
  <c r="H79" i="36"/>
  <c r="G38" i="35"/>
  <c r="G21" i="35"/>
  <c r="F13" i="33"/>
  <c r="F32" i="33" s="1"/>
  <c r="E8" i="13"/>
  <c r="F13" i="30"/>
  <c r="G21" i="12"/>
  <c r="G38" i="12"/>
  <c r="H83" i="36"/>
  <c r="H164" i="36" s="1"/>
  <c r="C9" i="18"/>
  <c r="H18" i="1"/>
  <c r="H18" i="36" s="1"/>
  <c r="H19" i="36"/>
  <c r="H26" i="36" s="1"/>
  <c r="H33" i="36" s="1"/>
  <c r="H116" i="36"/>
  <c r="H121" i="36" s="1"/>
  <c r="H174" i="36"/>
  <c r="H177" i="36"/>
  <c r="J177" i="36"/>
  <c r="N167" i="36"/>
  <c r="F157" i="36"/>
  <c r="F158" i="36" s="1"/>
  <c r="F181" i="36" s="1"/>
  <c r="F54" i="36"/>
  <c r="F55" i="36" s="1"/>
  <c r="M167" i="36"/>
  <c r="K125" i="1"/>
  <c r="K187" i="1" s="1"/>
  <c r="J125" i="36"/>
  <c r="D157" i="1"/>
  <c r="D52" i="36"/>
  <c r="E157" i="1"/>
  <c r="E52" i="36"/>
  <c r="F116" i="1"/>
  <c r="N52" i="1"/>
  <c r="N52" i="36" s="1"/>
  <c r="N157" i="1"/>
  <c r="H171" i="1"/>
  <c r="J104" i="1"/>
  <c r="E116" i="1"/>
  <c r="D116" i="1"/>
  <c r="D149" i="1" s="1"/>
  <c r="H26" i="1"/>
  <c r="H11" i="1"/>
  <c r="H11" i="36" s="1"/>
  <c r="H161" i="1"/>
  <c r="J161" i="1"/>
  <c r="H18" i="26"/>
  <c r="H28" i="26" s="1"/>
  <c r="F176" i="1"/>
  <c r="F187" i="1"/>
  <c r="E187" i="1"/>
  <c r="D176" i="1"/>
  <c r="D187" i="1"/>
  <c r="H176" i="1"/>
  <c r="H187" i="1"/>
  <c r="J187" i="1"/>
  <c r="H170" i="1"/>
  <c r="E176" i="1"/>
  <c r="F86" i="1"/>
  <c r="E86" i="1"/>
  <c r="D73" i="36" l="1"/>
  <c r="D155" i="36"/>
  <c r="D179" i="36"/>
  <c r="D121" i="36"/>
  <c r="D149" i="36"/>
  <c r="F149" i="36"/>
  <c r="F109" i="36"/>
  <c r="E73" i="36"/>
  <c r="E155" i="36"/>
  <c r="E121" i="36"/>
  <c r="E149" i="36"/>
  <c r="E179" i="36"/>
  <c r="H20" i="36"/>
  <c r="H146" i="36" s="1"/>
  <c r="H20" i="1"/>
  <c r="H21" i="35"/>
  <c r="H22" i="35" s="1"/>
  <c r="G22" i="35"/>
  <c r="H160" i="36"/>
  <c r="H179" i="36" s="1"/>
  <c r="H86" i="36"/>
  <c r="H38" i="35"/>
  <c r="H39" i="35" s="1"/>
  <c r="G39" i="35"/>
  <c r="H46" i="36"/>
  <c r="C10" i="18"/>
  <c r="E157" i="36"/>
  <c r="E158" i="36" s="1"/>
  <c r="E181" i="36" s="1"/>
  <c r="E54" i="36"/>
  <c r="E55" i="36" s="1"/>
  <c r="H13" i="36"/>
  <c r="H25" i="36"/>
  <c r="J171" i="1"/>
  <c r="J104" i="36"/>
  <c r="L125" i="1"/>
  <c r="K125" i="36"/>
  <c r="K187" i="36" s="1"/>
  <c r="J187" i="36"/>
  <c r="D157" i="36"/>
  <c r="D158" i="36" s="1"/>
  <c r="D181" i="36" s="1"/>
  <c r="D54" i="36"/>
  <c r="D55" i="36" s="1"/>
  <c r="H141" i="36"/>
  <c r="H51" i="37"/>
  <c r="G48" i="36"/>
  <c r="E149" i="1"/>
  <c r="F149" i="1"/>
  <c r="K104" i="1"/>
  <c r="H25" i="1"/>
  <c r="H13" i="1"/>
  <c r="H41" i="1" s="1"/>
  <c r="E22" i="32"/>
  <c r="E21" i="32"/>
  <c r="E20" i="32"/>
  <c r="F46" i="32"/>
  <c r="F36" i="32"/>
  <c r="D12" i="32" s="1"/>
  <c r="C36" i="32"/>
  <c r="D11" i="32" s="1"/>
  <c r="H145" i="36" l="1"/>
  <c r="H109" i="36"/>
  <c r="H149" i="36"/>
  <c r="H41" i="36"/>
  <c r="H142" i="36"/>
  <c r="H139" i="36"/>
  <c r="H147" i="36"/>
  <c r="H140" i="36"/>
  <c r="H143" i="36"/>
  <c r="H138" i="36"/>
  <c r="K171" i="1"/>
  <c r="K104" i="36"/>
  <c r="K171" i="36" s="1"/>
  <c r="H32" i="36"/>
  <c r="H27" i="36"/>
  <c r="M125" i="1"/>
  <c r="L125" i="36"/>
  <c r="L187" i="36" s="1"/>
  <c r="L187" i="1"/>
  <c r="J171" i="36"/>
  <c r="J105" i="36"/>
  <c r="H52" i="37"/>
  <c r="G49" i="36"/>
  <c r="G54" i="36"/>
  <c r="G55" i="36" s="1"/>
  <c r="G68" i="36"/>
  <c r="L104" i="1"/>
  <c r="H32" i="1"/>
  <c r="H27" i="1"/>
  <c r="D13" i="32"/>
  <c r="G72" i="36" l="1"/>
  <c r="G73" i="36" s="1"/>
  <c r="G69" i="36"/>
  <c r="N125" i="1"/>
  <c r="N125" i="36" s="1"/>
  <c r="M125" i="36"/>
  <c r="K105" i="36"/>
  <c r="L171" i="1"/>
  <c r="L104" i="36"/>
  <c r="L171" i="36" s="1"/>
  <c r="M187" i="1"/>
  <c r="H34" i="36"/>
  <c r="H48" i="36"/>
  <c r="M104" i="1"/>
  <c r="C25" i="32"/>
  <c r="N187" i="36" l="1"/>
  <c r="M187" i="36"/>
  <c r="M171" i="1"/>
  <c r="M104" i="36"/>
  <c r="M171" i="36" s="1"/>
  <c r="L105" i="36"/>
  <c r="H54" i="36"/>
  <c r="H55" i="36" s="1"/>
  <c r="H49" i="36"/>
  <c r="H68" i="36"/>
  <c r="N187" i="1"/>
  <c r="N104" i="1"/>
  <c r="D6" i="32"/>
  <c r="E25" i="32"/>
  <c r="H69" i="36" l="1"/>
  <c r="H72" i="36"/>
  <c r="M105" i="36"/>
  <c r="N171" i="1"/>
  <c r="N104" i="36"/>
  <c r="N105" i="36" s="1"/>
  <c r="F6" i="32"/>
  <c r="D15" i="32"/>
  <c r="N171" i="36" l="1"/>
  <c r="H73" i="36"/>
  <c r="H155" i="36"/>
  <c r="H158" i="36" s="1"/>
  <c r="H181" i="36" s="1"/>
  <c r="B2" i="32"/>
  <c r="B14" i="32" s="1"/>
  <c r="B1" i="32"/>
  <c r="G39" i="32" l="1"/>
  <c r="H39" i="32"/>
  <c r="C3" i="11"/>
  <c r="C3" i="9"/>
  <c r="V9" i="31"/>
  <c r="X9" i="31" s="1"/>
  <c r="X7" i="31"/>
  <c r="J35" i="31"/>
  <c r="H35" i="31"/>
  <c r="F35" i="31"/>
  <c r="D35" i="31"/>
  <c r="M31" i="31"/>
  <c r="L31" i="31"/>
  <c r="K31" i="31"/>
  <c r="J31" i="31"/>
  <c r="I31" i="31"/>
  <c r="H31" i="31"/>
  <c r="G31" i="31"/>
  <c r="F31" i="31"/>
  <c r="D31" i="31"/>
  <c r="M25" i="31"/>
  <c r="L25" i="31"/>
  <c r="K25" i="31"/>
  <c r="J25" i="31"/>
  <c r="I25" i="31"/>
  <c r="H25" i="31"/>
  <c r="G25" i="31"/>
  <c r="F25" i="31"/>
  <c r="D25" i="31"/>
  <c r="N12" i="31"/>
  <c r="M12" i="31"/>
  <c r="L12" i="31"/>
  <c r="K12" i="31"/>
  <c r="J12" i="31"/>
  <c r="I12" i="31"/>
  <c r="H12" i="31"/>
  <c r="G12" i="31"/>
  <c r="F12" i="31"/>
  <c r="D12" i="31"/>
  <c r="N18" i="31"/>
  <c r="M18" i="31"/>
  <c r="L18" i="31"/>
  <c r="K18" i="31"/>
  <c r="J18" i="31"/>
  <c r="I18" i="31"/>
  <c r="H18" i="31"/>
  <c r="G18" i="31"/>
  <c r="F18" i="31"/>
  <c r="D18" i="31"/>
  <c r="G35" i="31" l="1"/>
  <c r="K35" i="31"/>
  <c r="I35" i="31"/>
  <c r="Z7" i="31"/>
  <c r="Z9" i="31"/>
  <c r="M8" i="31" l="1"/>
  <c r="M7" i="31"/>
  <c r="M21" i="31"/>
  <c r="J22" i="31"/>
  <c r="K22" i="31" s="1"/>
  <c r="H22" i="31"/>
  <c r="F22" i="31"/>
  <c r="D22" i="31"/>
  <c r="J15" i="31"/>
  <c r="J14" i="31"/>
  <c r="J13" i="31"/>
  <c r="H15" i="31"/>
  <c r="H14" i="31"/>
  <c r="H13" i="31"/>
  <c r="F15" i="31"/>
  <c r="F14" i="31"/>
  <c r="F13" i="31"/>
  <c r="D15" i="31"/>
  <c r="D14" i="31"/>
  <c r="D13" i="31"/>
  <c r="K21" i="31"/>
  <c r="I21" i="31"/>
  <c r="G21" i="31"/>
  <c r="K20" i="31"/>
  <c r="I20" i="31"/>
  <c r="G20" i="31"/>
  <c r="K19" i="31"/>
  <c r="I19" i="31"/>
  <c r="G19" i="31"/>
  <c r="K9" i="31"/>
  <c r="K8" i="31"/>
  <c r="K7" i="31"/>
  <c r="I9" i="31"/>
  <c r="I8" i="31"/>
  <c r="I7" i="31"/>
  <c r="G9" i="31"/>
  <c r="G8" i="31"/>
  <c r="G7" i="31"/>
  <c r="B2" i="31"/>
  <c r="B1" i="31"/>
  <c r="B1" i="30"/>
  <c r="B2" i="29"/>
  <c r="C3" i="29"/>
  <c r="B2" i="14"/>
  <c r="B1" i="14"/>
  <c r="B2" i="18"/>
  <c r="B1" i="18"/>
  <c r="O21" i="31" l="1"/>
  <c r="G22" i="31"/>
  <c r="O7" i="31"/>
  <c r="I22" i="31"/>
  <c r="O8" i="31"/>
  <c r="N14" i="31"/>
  <c r="K15" i="31"/>
  <c r="K14" i="31"/>
  <c r="I13" i="31"/>
  <c r="G14" i="31"/>
  <c r="G15" i="31"/>
  <c r="M19" i="31"/>
  <c r="O19" i="31" s="1"/>
  <c r="I15" i="31"/>
  <c r="Q9" i="31"/>
  <c r="Q14" i="31"/>
  <c r="S14" i="31" s="1"/>
  <c r="U14" i="31" s="1"/>
  <c r="W14" i="31" s="1"/>
  <c r="Y14" i="31" s="1"/>
  <c r="N15" i="31"/>
  <c r="M9" i="31"/>
  <c r="O9" i="31" s="1"/>
  <c r="N13" i="31"/>
  <c r="M20" i="31"/>
  <c r="O20" i="31" s="1"/>
  <c r="N22" i="31"/>
  <c r="Q8" i="31"/>
  <c r="Q33" i="31" s="1"/>
  <c r="M14" i="31"/>
  <c r="K13" i="31"/>
  <c r="G13" i="31"/>
  <c r="L22" i="31"/>
  <c r="M22" i="31" s="1"/>
  <c r="O22" i="31" s="1"/>
  <c r="I14" i="31"/>
  <c r="O14" i="31" l="1"/>
  <c r="J16" i="1"/>
  <c r="J16" i="36" s="1"/>
  <c r="M15" i="31"/>
  <c r="O15" i="31" s="1"/>
  <c r="M13" i="31"/>
  <c r="O13" i="31" s="1"/>
  <c r="Q20" i="31"/>
  <c r="R33" i="31" s="1"/>
  <c r="S8" i="31"/>
  <c r="S9" i="31"/>
  <c r="S15" i="31"/>
  <c r="U15" i="31" s="1"/>
  <c r="W15" i="31" s="1"/>
  <c r="Y15" i="31" s="1"/>
  <c r="Q13" i="31"/>
  <c r="S13" i="31" s="1"/>
  <c r="U13" i="31" s="1"/>
  <c r="W13" i="31" s="1"/>
  <c r="Y13" i="31" s="1"/>
  <c r="S33" i="31" l="1"/>
  <c r="U8" i="31"/>
  <c r="K16" i="1"/>
  <c r="K16" i="36" s="1"/>
  <c r="K10" i="1"/>
  <c r="K10" i="36" s="1"/>
  <c r="Q21" i="31"/>
  <c r="J10" i="1" s="1"/>
  <c r="S20" i="31"/>
  <c r="T33" i="31" s="1"/>
  <c r="Q19" i="31"/>
  <c r="R20" i="31"/>
  <c r="J9" i="1"/>
  <c r="J9" i="36" s="1"/>
  <c r="D9" i="29"/>
  <c r="G9" i="29" s="1"/>
  <c r="I7" i="37" l="1"/>
  <c r="J23" i="36"/>
  <c r="J30" i="36" s="1"/>
  <c r="J37" i="36"/>
  <c r="J10" i="36"/>
  <c r="J38" i="36" s="1"/>
  <c r="J23" i="1"/>
  <c r="J30" i="1" s="1"/>
  <c r="J37" i="1"/>
  <c r="T20" i="31"/>
  <c r="K9" i="1"/>
  <c r="R19" i="31"/>
  <c r="J8" i="1"/>
  <c r="Q22" i="31"/>
  <c r="B35" i="13"/>
  <c r="B34" i="13"/>
  <c r="B33" i="13"/>
  <c r="C4" i="9"/>
  <c r="G19" i="30"/>
  <c r="H19" i="30"/>
  <c r="I19" i="30"/>
  <c r="J19" i="30"/>
  <c r="F19" i="30"/>
  <c r="K38" i="30"/>
  <c r="F21" i="30"/>
  <c r="G21" i="30" s="1"/>
  <c r="H21" i="30" s="1"/>
  <c r="I21" i="30" s="1"/>
  <c r="J21" i="30" s="1"/>
  <c r="K38" i="36" l="1"/>
  <c r="J36" i="1"/>
  <c r="J8" i="36"/>
  <c r="K23" i="1"/>
  <c r="K30" i="1" s="1"/>
  <c r="K9" i="36"/>
  <c r="K37" i="1"/>
  <c r="F25" i="30"/>
  <c r="E49" i="30"/>
  <c r="F22" i="30"/>
  <c r="F23" i="30" s="1"/>
  <c r="L38" i="30"/>
  <c r="Q38" i="30"/>
  <c r="I49" i="30"/>
  <c r="I22" i="30"/>
  <c r="I25" i="30"/>
  <c r="F49" i="30"/>
  <c r="D28" i="29"/>
  <c r="E28" i="29"/>
  <c r="F28" i="29"/>
  <c r="C9" i="29"/>
  <c r="B44" i="14"/>
  <c r="B45" i="14"/>
  <c r="B46" i="14"/>
  <c r="B47" i="14"/>
  <c r="B43" i="14"/>
  <c r="B33" i="14"/>
  <c r="G28" i="29" l="1"/>
  <c r="J7" i="37"/>
  <c r="K37" i="36"/>
  <c r="K23" i="36"/>
  <c r="K30" i="36" s="1"/>
  <c r="I6" i="37"/>
  <c r="J36" i="36"/>
  <c r="J13" i="36"/>
  <c r="D49" i="30"/>
  <c r="J38" i="30"/>
  <c r="G22" i="30"/>
  <c r="G23" i="30" s="1"/>
  <c r="G25" i="30"/>
  <c r="H22" i="30"/>
  <c r="H25" i="30"/>
  <c r="R38" i="30"/>
  <c r="J49" i="30"/>
  <c r="J25" i="30"/>
  <c r="J22" i="30"/>
  <c r="D104" i="37" l="1"/>
  <c r="J41" i="36"/>
  <c r="H23" i="30"/>
  <c r="H49" i="30"/>
  <c r="P38" i="30"/>
  <c r="I23" i="30" l="1"/>
  <c r="J23" i="30" l="1"/>
  <c r="K31" i="14" l="1"/>
  <c r="L31" i="14"/>
  <c r="M31" i="14"/>
  <c r="N31" i="14"/>
  <c r="J31" i="14"/>
  <c r="K41" i="14"/>
  <c r="L41" i="14"/>
  <c r="M41" i="14"/>
  <c r="N41" i="14"/>
  <c r="J41" i="14"/>
  <c r="D9" i="14"/>
  <c r="E9" i="14"/>
  <c r="F9" i="14"/>
  <c r="G9" i="14"/>
  <c r="D10" i="14"/>
  <c r="E10" i="14"/>
  <c r="F10" i="14"/>
  <c r="G10" i="14"/>
  <c r="D11" i="14"/>
  <c r="E11" i="14"/>
  <c r="F11" i="14"/>
  <c r="G11" i="14"/>
  <c r="D12" i="14"/>
  <c r="E12" i="14"/>
  <c r="F12" i="14"/>
  <c r="G12" i="14"/>
  <c r="D8" i="14"/>
  <c r="E8" i="14"/>
  <c r="F8" i="14"/>
  <c r="G8" i="14"/>
  <c r="L138" i="1"/>
  <c r="M138" i="1" s="1"/>
  <c r="N138" i="1" s="1"/>
  <c r="H12" i="14"/>
  <c r="H11" i="14"/>
  <c r="H10" i="14"/>
  <c r="N42" i="30" l="1"/>
  <c r="N44" i="30"/>
  <c r="N43" i="30"/>
  <c r="N41" i="30"/>
  <c r="N40" i="30"/>
  <c r="H26" i="14"/>
  <c r="H24" i="14"/>
  <c r="H25" i="14"/>
  <c r="H37" i="14"/>
  <c r="H36" i="14"/>
  <c r="E37" i="14"/>
  <c r="E36" i="14"/>
  <c r="E35" i="14"/>
  <c r="E34" i="14"/>
  <c r="J10" i="14"/>
  <c r="J35" i="14" s="1"/>
  <c r="J45" i="14" s="1"/>
  <c r="J17" i="14" s="1"/>
  <c r="H35" i="14"/>
  <c r="H8" i="14"/>
  <c r="J12" i="14"/>
  <c r="J11" i="14"/>
  <c r="D13" i="14"/>
  <c r="D27" i="14" s="1"/>
  <c r="F13" i="14"/>
  <c r="F27" i="14" s="1"/>
  <c r="H9" i="14"/>
  <c r="J34" i="14" s="1"/>
  <c r="J44" i="14" s="1"/>
  <c r="E13" i="14"/>
  <c r="E27" i="14" s="1"/>
  <c r="G13" i="14"/>
  <c r="G27" i="14" s="1"/>
  <c r="E33" i="14"/>
  <c r="F37" i="14"/>
  <c r="F35" i="14"/>
  <c r="F34" i="14"/>
  <c r="G36" i="14"/>
  <c r="G34" i="14"/>
  <c r="G33" i="14"/>
  <c r="F36" i="14"/>
  <c r="F33" i="14"/>
  <c r="G37" i="14"/>
  <c r="G35" i="14"/>
  <c r="H22" i="14" l="1"/>
  <c r="J33" i="14"/>
  <c r="J24" i="14"/>
  <c r="H23" i="14"/>
  <c r="H27" i="14" s="1"/>
  <c r="J37" i="14"/>
  <c r="J47" i="14" s="1"/>
  <c r="J92" i="1"/>
  <c r="J92" i="36" s="1"/>
  <c r="K11" i="14"/>
  <c r="J91" i="1"/>
  <c r="J91" i="36" s="1"/>
  <c r="K10" i="14"/>
  <c r="J90" i="1"/>
  <c r="J90" i="36" s="1"/>
  <c r="H33" i="14"/>
  <c r="H34" i="14"/>
  <c r="J36" i="14"/>
  <c r="J46" i="14" s="1"/>
  <c r="J18" i="14" s="1"/>
  <c r="H13" i="14"/>
  <c r="E38" i="14"/>
  <c r="K12" i="14"/>
  <c r="F38" i="14"/>
  <c r="G38" i="14"/>
  <c r="D38" i="14"/>
  <c r="H153" i="1"/>
  <c r="G153" i="1"/>
  <c r="F153" i="1"/>
  <c r="E153" i="1"/>
  <c r="D153" i="1"/>
  <c r="C153" i="1"/>
  <c r="D184" i="1"/>
  <c r="E184" i="1"/>
  <c r="F184" i="1"/>
  <c r="D185" i="1"/>
  <c r="E185" i="1"/>
  <c r="F185" i="1"/>
  <c r="D186" i="1"/>
  <c r="E186" i="1"/>
  <c r="F186" i="1"/>
  <c r="D160" i="1"/>
  <c r="E160" i="1"/>
  <c r="F160" i="1"/>
  <c r="D162" i="1"/>
  <c r="E162" i="1"/>
  <c r="F162" i="1"/>
  <c r="D163" i="1"/>
  <c r="E163" i="1"/>
  <c r="F163" i="1"/>
  <c r="D164" i="1"/>
  <c r="E164" i="1"/>
  <c r="F164" i="1"/>
  <c r="D166" i="1"/>
  <c r="E166" i="1"/>
  <c r="F166" i="1"/>
  <c r="D167" i="1"/>
  <c r="E167" i="1"/>
  <c r="F167" i="1"/>
  <c r="D174" i="1"/>
  <c r="E174" i="1"/>
  <c r="F174" i="1"/>
  <c r="D177" i="1"/>
  <c r="E177" i="1"/>
  <c r="F177" i="1"/>
  <c r="D178" i="1"/>
  <c r="E178" i="1"/>
  <c r="F178" i="1"/>
  <c r="C119" i="1"/>
  <c r="D165" i="1"/>
  <c r="H119" i="1"/>
  <c r="G119" i="1"/>
  <c r="F119" i="1"/>
  <c r="D119" i="1"/>
  <c r="E119" i="1"/>
  <c r="C46" i="1"/>
  <c r="H136" i="1"/>
  <c r="G136" i="1"/>
  <c r="F136" i="1"/>
  <c r="E136" i="1"/>
  <c r="D136" i="1"/>
  <c r="C136" i="1"/>
  <c r="G77" i="1"/>
  <c r="F77" i="1"/>
  <c r="E77" i="1"/>
  <c r="D77" i="1"/>
  <c r="C77" i="1"/>
  <c r="C105" i="1"/>
  <c r="C96" i="1"/>
  <c r="C65" i="1"/>
  <c r="C62" i="1"/>
  <c r="C59" i="1"/>
  <c r="H77" i="1"/>
  <c r="J19" i="14" l="1"/>
  <c r="K36" i="14"/>
  <c r="K46" i="14" s="1"/>
  <c r="K18" i="14" s="1"/>
  <c r="K92" i="1"/>
  <c r="K92" i="36" s="1"/>
  <c r="J88" i="1"/>
  <c r="J88" i="36" s="1"/>
  <c r="J22" i="14"/>
  <c r="J25" i="14"/>
  <c r="K8" i="14"/>
  <c r="K33" i="14" s="1"/>
  <c r="J89" i="1"/>
  <c r="J89" i="36" s="1"/>
  <c r="L11" i="14"/>
  <c r="K91" i="1"/>
  <c r="K91" i="36" s="1"/>
  <c r="L10" i="14"/>
  <c r="K90" i="1"/>
  <c r="K90" i="36" s="1"/>
  <c r="K35" i="14"/>
  <c r="K45" i="14" s="1"/>
  <c r="K9" i="14"/>
  <c r="H38" i="14"/>
  <c r="J13" i="14"/>
  <c r="C33" i="1"/>
  <c r="C147" i="1"/>
  <c r="C141" i="1"/>
  <c r="C146" i="1"/>
  <c r="K37" i="14"/>
  <c r="K47" i="14" s="1"/>
  <c r="L12" i="14"/>
  <c r="E175" i="1"/>
  <c r="F175" i="1"/>
  <c r="F165" i="1"/>
  <c r="D175" i="1"/>
  <c r="E165" i="1"/>
  <c r="C66" i="1"/>
  <c r="C138" i="1"/>
  <c r="C142" i="1"/>
  <c r="C139" i="1"/>
  <c r="C140" i="1"/>
  <c r="C143" i="1"/>
  <c r="C145" i="1"/>
  <c r="C109" i="1"/>
  <c r="C121" i="1"/>
  <c r="K19" i="14" l="1"/>
  <c r="J26" i="14"/>
  <c r="K17" i="14"/>
  <c r="K24" i="14" s="1"/>
  <c r="J183" i="36"/>
  <c r="J38" i="14"/>
  <c r="L35" i="14"/>
  <c r="L45" i="14" s="1"/>
  <c r="J48" i="14"/>
  <c r="K25" i="14"/>
  <c r="L92" i="1"/>
  <c r="L92" i="36" s="1"/>
  <c r="K88" i="1"/>
  <c r="K88" i="36" s="1"/>
  <c r="K22" i="14"/>
  <c r="J183" i="1"/>
  <c r="L9" i="14"/>
  <c r="L89" i="1" s="1"/>
  <c r="L89" i="36" s="1"/>
  <c r="L8" i="14"/>
  <c r="K13" i="14"/>
  <c r="M11" i="14"/>
  <c r="L91" i="1"/>
  <c r="L91" i="36" s="1"/>
  <c r="L36" i="14"/>
  <c r="L46" i="14" s="1"/>
  <c r="L18" i="14" s="1"/>
  <c r="M10" i="14"/>
  <c r="L90" i="1"/>
  <c r="L90" i="36" s="1"/>
  <c r="L34" i="14"/>
  <c r="K34" i="14"/>
  <c r="K89" i="1"/>
  <c r="K89" i="36" s="1"/>
  <c r="C48" i="1"/>
  <c r="C54" i="1" s="1"/>
  <c r="C55" i="1" s="1"/>
  <c r="L37" i="14"/>
  <c r="L47" i="14" s="1"/>
  <c r="M12" i="14"/>
  <c r="C149" i="1"/>
  <c r="J31" i="12"/>
  <c r="L19" i="14" l="1"/>
  <c r="L26" i="14" s="1"/>
  <c r="L17" i="14"/>
  <c r="L24" i="14" s="1"/>
  <c r="K26" i="14"/>
  <c r="K183" i="36"/>
  <c r="M9" i="14"/>
  <c r="M89" i="1" s="1"/>
  <c r="M89" i="36" s="1"/>
  <c r="L25" i="14"/>
  <c r="L88" i="1"/>
  <c r="L88" i="36" s="1"/>
  <c r="L22" i="14"/>
  <c r="L13" i="14"/>
  <c r="M8" i="14"/>
  <c r="M22" i="14" s="1"/>
  <c r="M35" i="14"/>
  <c r="M36" i="14"/>
  <c r="M46" i="14" s="1"/>
  <c r="J51" i="1"/>
  <c r="J20" i="14"/>
  <c r="J23" i="14"/>
  <c r="K44" i="14"/>
  <c r="L33" i="14"/>
  <c r="K183" i="1"/>
  <c r="N10" i="14"/>
  <c r="M90" i="1"/>
  <c r="M90" i="36" s="1"/>
  <c r="N12" i="14"/>
  <c r="M92" i="1"/>
  <c r="M92" i="36" s="1"/>
  <c r="N11" i="14"/>
  <c r="M91" i="1"/>
  <c r="M91" i="36" s="1"/>
  <c r="C34" i="1"/>
  <c r="C49" i="1"/>
  <c r="C68" i="1"/>
  <c r="M37" i="14"/>
  <c r="M47" i="14" s="1"/>
  <c r="K38" i="14"/>
  <c r="K33" i="12"/>
  <c r="J33" i="12"/>
  <c r="H33" i="12"/>
  <c r="G33" i="12"/>
  <c r="E33" i="12"/>
  <c r="D33" i="12"/>
  <c r="K16" i="12"/>
  <c r="J16" i="12"/>
  <c r="H16" i="12"/>
  <c r="G16" i="12"/>
  <c r="E16" i="12"/>
  <c r="D16" i="12"/>
  <c r="H38" i="12"/>
  <c r="E38" i="12"/>
  <c r="G37" i="12"/>
  <c r="H37" i="12" s="1"/>
  <c r="D37" i="12"/>
  <c r="H21" i="12"/>
  <c r="G20" i="12"/>
  <c r="D20" i="12"/>
  <c r="E20" i="12" s="1"/>
  <c r="K48" i="14" l="1"/>
  <c r="K51" i="1" s="1"/>
  <c r="K16" i="14"/>
  <c r="M45" i="14"/>
  <c r="M17" i="14" s="1"/>
  <c r="M19" i="14"/>
  <c r="M18" i="14"/>
  <c r="M34" i="14"/>
  <c r="J156" i="1"/>
  <c r="J51" i="36"/>
  <c r="J156" i="36" s="1"/>
  <c r="K156" i="1"/>
  <c r="K51" i="36"/>
  <c r="K156" i="36" s="1"/>
  <c r="L183" i="36"/>
  <c r="N9" i="14"/>
  <c r="N34" i="14" s="1"/>
  <c r="K20" i="14"/>
  <c r="K27" i="14" s="1"/>
  <c r="M33" i="14"/>
  <c r="M88" i="1"/>
  <c r="N8" i="14"/>
  <c r="N33" i="14" s="1"/>
  <c r="L183" i="1"/>
  <c r="M13" i="14"/>
  <c r="M24" i="14"/>
  <c r="N90" i="1"/>
  <c r="N90" i="36" s="1"/>
  <c r="J27" i="14"/>
  <c r="J93" i="1"/>
  <c r="J93" i="36" s="1"/>
  <c r="J96" i="36" s="1"/>
  <c r="N92" i="1"/>
  <c r="N92" i="36" s="1"/>
  <c r="N37" i="14"/>
  <c r="N47" i="14" s="1"/>
  <c r="N35" i="14"/>
  <c r="N91" i="1"/>
  <c r="N91" i="36" s="1"/>
  <c r="N36" i="14"/>
  <c r="N46" i="14" s="1"/>
  <c r="C72" i="1"/>
  <c r="C73" i="1" s="1"/>
  <c r="C69" i="1"/>
  <c r="G22" i="12"/>
  <c r="D39" i="12"/>
  <c r="H39" i="12"/>
  <c r="E37" i="12"/>
  <c r="E39" i="12" s="1"/>
  <c r="G39" i="12"/>
  <c r="E22" i="12"/>
  <c r="D22" i="12"/>
  <c r="H20" i="12"/>
  <c r="H22" i="12" s="1"/>
  <c r="N45" i="14" l="1"/>
  <c r="N19" i="14"/>
  <c r="N26" i="14" s="1"/>
  <c r="M26" i="14"/>
  <c r="N18" i="14"/>
  <c r="N25" i="14" s="1"/>
  <c r="M25" i="14"/>
  <c r="N17" i="14"/>
  <c r="N24" i="14" s="1"/>
  <c r="N89" i="1"/>
  <c r="N89" i="36" s="1"/>
  <c r="K93" i="1"/>
  <c r="K93" i="36" s="1"/>
  <c r="K96" i="36" s="1"/>
  <c r="M183" i="1"/>
  <c r="M88" i="36"/>
  <c r="N22" i="14"/>
  <c r="N13" i="14"/>
  <c r="N88" i="1"/>
  <c r="L44" i="14"/>
  <c r="L16" i="14" s="1"/>
  <c r="C155" i="1"/>
  <c r="C158" i="1" s="1"/>
  <c r="C127" i="1"/>
  <c r="L38" i="14"/>
  <c r="N183" i="1" l="1"/>
  <c r="N88" i="36"/>
  <c r="N183" i="36" s="1"/>
  <c r="C126" i="1"/>
  <c r="C127" i="36"/>
  <c r="M183" i="36"/>
  <c r="L48" i="14"/>
  <c r="B167" i="1"/>
  <c r="K167" i="1"/>
  <c r="L167" i="1"/>
  <c r="M167" i="1"/>
  <c r="N167" i="1"/>
  <c r="C128" i="1" l="1"/>
  <c r="C130" i="1" s="1"/>
  <c r="C132" i="1" s="1"/>
  <c r="C126" i="36"/>
  <c r="L51" i="1"/>
  <c r="L20" i="14"/>
  <c r="L23" i="14"/>
  <c r="M44" i="14"/>
  <c r="M16" i="14" s="1"/>
  <c r="M38" i="14"/>
  <c r="L156" i="1" l="1"/>
  <c r="L51" i="36"/>
  <c r="L156" i="36" s="1"/>
  <c r="C128" i="36"/>
  <c r="C130" i="36" s="1"/>
  <c r="C132" i="36" s="1"/>
  <c r="M48" i="14"/>
  <c r="M51" i="1" s="1"/>
  <c r="L27" i="14"/>
  <c r="L93" i="1"/>
  <c r="L93" i="36" s="1"/>
  <c r="L96" i="36" s="1"/>
  <c r="B186" i="1"/>
  <c r="M156" i="1" l="1"/>
  <c r="M51" i="36"/>
  <c r="M156" i="36" s="1"/>
  <c r="M20" i="14"/>
  <c r="M23" i="14"/>
  <c r="N44" i="14"/>
  <c r="N16" i="14" s="1"/>
  <c r="E179" i="1"/>
  <c r="F179" i="1"/>
  <c r="J123" i="1"/>
  <c r="J123" i="36" s="1"/>
  <c r="H177" i="1"/>
  <c r="G65" i="1"/>
  <c r="J185" i="36" l="1"/>
  <c r="N23" i="14"/>
  <c r="N48" i="14"/>
  <c r="M27" i="14"/>
  <c r="M93" i="1"/>
  <c r="M93" i="36" s="1"/>
  <c r="M96" i="36" s="1"/>
  <c r="N38" i="14"/>
  <c r="H167" i="1"/>
  <c r="J167" i="1"/>
  <c r="H186" i="1"/>
  <c r="J124" i="1"/>
  <c r="J186" i="1" l="1"/>
  <c r="J124" i="36"/>
  <c r="N51" i="1"/>
  <c r="N20" i="14"/>
  <c r="K124" i="1"/>
  <c r="K124" i="36" s="1"/>
  <c r="N156" i="1" l="1"/>
  <c r="N51" i="36"/>
  <c r="N156" i="36" s="1"/>
  <c r="K186" i="36"/>
  <c r="J186" i="36"/>
  <c r="N93" i="1"/>
  <c r="N93" i="36" s="1"/>
  <c r="N96" i="36" s="1"/>
  <c r="N27" i="14"/>
  <c r="L124" i="1"/>
  <c r="L124" i="36" s="1"/>
  <c r="K186" i="1"/>
  <c r="D179" i="1"/>
  <c r="D105" i="1"/>
  <c r="D96" i="1"/>
  <c r="D65" i="1"/>
  <c r="D62" i="1"/>
  <c r="D59" i="1"/>
  <c r="D46" i="1"/>
  <c r="D147" i="1"/>
  <c r="L186" i="36" l="1"/>
  <c r="D145" i="1"/>
  <c r="D146" i="1"/>
  <c r="D41" i="1"/>
  <c r="D33" i="1"/>
  <c r="M124" i="1"/>
  <c r="L186" i="1"/>
  <c r="D138" i="1"/>
  <c r="D121" i="1"/>
  <c r="D66" i="1"/>
  <c r="D139" i="1"/>
  <c r="D140" i="1"/>
  <c r="D143" i="1"/>
  <c r="D141" i="1"/>
  <c r="D142" i="1"/>
  <c r="M186" i="1" l="1"/>
  <c r="M124" i="36"/>
  <c r="D34" i="1"/>
  <c r="N124" i="1"/>
  <c r="D109" i="1"/>
  <c r="N186" i="1" l="1"/>
  <c r="N124" i="36"/>
  <c r="N186" i="36" s="1"/>
  <c r="M186" i="36"/>
  <c r="D48" i="1"/>
  <c r="D68" i="1" s="1"/>
  <c r="D72" i="1" l="1"/>
  <c r="D127" i="1" s="1"/>
  <c r="D54" i="1"/>
  <c r="E34" i="35" s="1"/>
  <c r="D69" i="1"/>
  <c r="D49" i="1"/>
  <c r="D126" i="1" l="1"/>
  <c r="D126" i="36" s="1"/>
  <c r="D127" i="36"/>
  <c r="D55" i="1"/>
  <c r="E34" i="12"/>
  <c r="D73" i="1"/>
  <c r="D155" i="1"/>
  <c r="H11" i="18"/>
  <c r="G11" i="18"/>
  <c r="F11" i="18"/>
  <c r="E11" i="18"/>
  <c r="D128" i="36" l="1"/>
  <c r="D130" i="36" s="1"/>
  <c r="D132" i="36" s="1"/>
  <c r="D188" i="36"/>
  <c r="D189" i="36" s="1"/>
  <c r="D191" i="36" s="1"/>
  <c r="D192" i="36" s="1"/>
  <c r="D158" i="1"/>
  <c r="D181" i="1" s="1"/>
  <c r="E22" i="18"/>
  <c r="F22" i="18" s="1"/>
  <c r="G22" i="18" s="1"/>
  <c r="H22" i="18" s="1"/>
  <c r="I32" i="9" l="1"/>
  <c r="H32" i="9"/>
  <c r="G32" i="9"/>
  <c r="G22" i="11" l="1"/>
  <c r="J22" i="11"/>
  <c r="I22" i="11"/>
  <c r="H22" i="11"/>
  <c r="F22" i="11"/>
  <c r="E22" i="11"/>
  <c r="K141" i="1" l="1"/>
  <c r="L141" i="1" s="1"/>
  <c r="M141" i="1" s="1"/>
  <c r="N141" i="1" s="1"/>
  <c r="C7" i="18"/>
  <c r="K139" i="1" l="1"/>
  <c r="L139" i="1" l="1"/>
  <c r="M139" i="1" s="1"/>
  <c r="N139" i="1" s="1"/>
  <c r="H185" i="1"/>
  <c r="H184" i="1"/>
  <c r="H175" i="1"/>
  <c r="H174" i="1"/>
  <c r="H166" i="1"/>
  <c r="H163" i="1"/>
  <c r="H162" i="1"/>
  <c r="H37" i="9" l="1"/>
  <c r="H39" i="9" s="1"/>
  <c r="I36" i="9"/>
  <c r="I35" i="9"/>
  <c r="E27" i="11"/>
  <c r="F26" i="11"/>
  <c r="F25" i="11"/>
  <c r="D35" i="12" l="1"/>
  <c r="G35" i="12" s="1"/>
  <c r="D35" i="35"/>
  <c r="F27" i="11"/>
  <c r="I37" i="9"/>
  <c r="I39" i="9" s="1"/>
  <c r="E29" i="11"/>
  <c r="D18" i="12" l="1"/>
  <c r="J18" i="12" s="1"/>
  <c r="D18" i="35"/>
  <c r="J35" i="35"/>
  <c r="D36" i="35"/>
  <c r="D40" i="35" s="1"/>
  <c r="D42" i="35" s="1"/>
  <c r="G35" i="35"/>
  <c r="G36" i="35" s="1"/>
  <c r="G40" i="35" s="1"/>
  <c r="G42" i="35" s="1"/>
  <c r="J35" i="12"/>
  <c r="E35" i="12"/>
  <c r="H35" i="12" s="1"/>
  <c r="E35" i="35"/>
  <c r="K35" i="12"/>
  <c r="F29" i="11"/>
  <c r="B188" i="1"/>
  <c r="B185" i="1"/>
  <c r="B184" i="1"/>
  <c r="K177" i="1"/>
  <c r="L177" i="1"/>
  <c r="M177" i="1"/>
  <c r="N177" i="1"/>
  <c r="K178" i="1"/>
  <c r="L178" i="1"/>
  <c r="M178" i="1"/>
  <c r="N178" i="1"/>
  <c r="J177" i="1"/>
  <c r="B174" i="1"/>
  <c r="B175" i="1"/>
  <c r="B177" i="1"/>
  <c r="B178" i="1"/>
  <c r="B162" i="1"/>
  <c r="B163" i="1"/>
  <c r="B164" i="1"/>
  <c r="B165" i="1"/>
  <c r="B166" i="1"/>
  <c r="B160" i="1"/>
  <c r="E18" i="12" l="1"/>
  <c r="K18" i="12" s="1"/>
  <c r="E18" i="35"/>
  <c r="J18" i="35"/>
  <c r="G18" i="35"/>
  <c r="G19" i="35" s="1"/>
  <c r="G23" i="35" s="1"/>
  <c r="G25" i="35" s="1"/>
  <c r="D19" i="35"/>
  <c r="D23" i="35" s="1"/>
  <c r="D25" i="35" s="1"/>
  <c r="H35" i="35"/>
  <c r="E36" i="35"/>
  <c r="E40" i="35" s="1"/>
  <c r="E42" i="35" s="1"/>
  <c r="D43" i="35" s="1"/>
  <c r="K35" i="35"/>
  <c r="H18" i="12"/>
  <c r="J105" i="1"/>
  <c r="K147" i="1"/>
  <c r="L147" i="1" s="1"/>
  <c r="M147" i="1" s="1"/>
  <c r="N147" i="1" s="1"/>
  <c r="K145" i="1"/>
  <c r="L145" i="1" s="1"/>
  <c r="M145" i="1" s="1"/>
  <c r="N145" i="1" s="1"/>
  <c r="K143" i="1"/>
  <c r="L143" i="1" s="1"/>
  <c r="M143" i="1" s="1"/>
  <c r="N143" i="1" s="1"/>
  <c r="K142" i="1"/>
  <c r="L142" i="1" s="1"/>
  <c r="M142" i="1" s="1"/>
  <c r="N142" i="1" s="1"/>
  <c r="K140" i="1"/>
  <c r="L140" i="1" s="1"/>
  <c r="M140" i="1" s="1"/>
  <c r="N140" i="1" s="1"/>
  <c r="K77" i="1"/>
  <c r="L77" i="1"/>
  <c r="M77" i="1"/>
  <c r="N77" i="1"/>
  <c r="J77" i="1"/>
  <c r="N96" i="1"/>
  <c r="M96" i="1"/>
  <c r="L96" i="1"/>
  <c r="K96" i="1"/>
  <c r="J96" i="1"/>
  <c r="H18" i="35" l="1"/>
  <c r="K18" i="35"/>
  <c r="N153" i="1"/>
  <c r="N136" i="1"/>
  <c r="M153" i="1"/>
  <c r="M136" i="1"/>
  <c r="L153" i="1"/>
  <c r="L136" i="1"/>
  <c r="J153" i="1"/>
  <c r="J136" i="1"/>
  <c r="K153" i="1"/>
  <c r="K136" i="1"/>
  <c r="K123" i="1"/>
  <c r="J185" i="1"/>
  <c r="N65" i="1"/>
  <c r="M65" i="1"/>
  <c r="L65" i="1"/>
  <c r="K65" i="1"/>
  <c r="J65" i="1"/>
  <c r="N62" i="1"/>
  <c r="M62" i="1"/>
  <c r="L62" i="1"/>
  <c r="K62" i="1"/>
  <c r="J62" i="1"/>
  <c r="K185" i="1" l="1"/>
  <c r="K123" i="36"/>
  <c r="K105" i="1"/>
  <c r="J66" i="1"/>
  <c r="L66" i="1"/>
  <c r="N66" i="1"/>
  <c r="L123" i="1"/>
  <c r="L123" i="36" s="1"/>
  <c r="K66" i="1"/>
  <c r="M66" i="1"/>
  <c r="L185" i="36" l="1"/>
  <c r="K185" i="36"/>
  <c r="M105" i="1"/>
  <c r="L105" i="1"/>
  <c r="L185" i="1"/>
  <c r="M123" i="1"/>
  <c r="M123" i="36" s="1"/>
  <c r="M185" i="36" l="1"/>
  <c r="M185" i="1"/>
  <c r="N123" i="1"/>
  <c r="N123" i="36" s="1"/>
  <c r="N185" i="36" s="1"/>
  <c r="N105" i="1" l="1"/>
  <c r="N185" i="1"/>
  <c r="H105" i="1" l="1"/>
  <c r="G105" i="1"/>
  <c r="F105" i="1"/>
  <c r="E105" i="1"/>
  <c r="H164" i="1" l="1"/>
  <c r="J178" i="1"/>
  <c r="H178" i="1"/>
  <c r="H116" i="1"/>
  <c r="H96" i="1"/>
  <c r="G96" i="1"/>
  <c r="F96" i="1"/>
  <c r="E96" i="1"/>
  <c r="H86" i="1"/>
  <c r="H149" i="1" l="1"/>
  <c r="H160" i="1"/>
  <c r="H165" i="1"/>
  <c r="F121" i="1"/>
  <c r="E121" i="1"/>
  <c r="H121" i="1"/>
  <c r="E109" i="1"/>
  <c r="H109" i="1"/>
  <c r="H179" i="1" l="1"/>
  <c r="F109" i="1"/>
  <c r="G66" i="1" l="1"/>
  <c r="H65" i="1"/>
  <c r="F65" i="1"/>
  <c r="E65" i="1"/>
  <c r="H62" i="1"/>
  <c r="F62" i="1"/>
  <c r="E62" i="1"/>
  <c r="F66" i="1" l="1"/>
  <c r="H66" i="1"/>
  <c r="E66" i="1"/>
  <c r="B40" i="1"/>
  <c r="E46" i="1"/>
  <c r="F46" i="1"/>
  <c r="G46" i="1"/>
  <c r="H46" i="1"/>
  <c r="E59" i="1"/>
  <c r="F59" i="1"/>
  <c r="G59" i="1"/>
  <c r="H59" i="1"/>
  <c r="F146" i="1"/>
  <c r="E146" i="1"/>
  <c r="E147" i="1"/>
  <c r="F147" i="1"/>
  <c r="H143" i="1" l="1"/>
  <c r="H142" i="1"/>
  <c r="H138" i="1"/>
  <c r="H147" i="1"/>
  <c r="H140" i="1"/>
  <c r="H139" i="1"/>
  <c r="H146" i="1"/>
  <c r="H141" i="1"/>
  <c r="H145" i="1"/>
  <c r="D6" i="12"/>
  <c r="H33" i="1"/>
  <c r="C21" i="29"/>
  <c r="C20" i="29"/>
  <c r="C22" i="29"/>
  <c r="G41" i="1"/>
  <c r="E41" i="1"/>
  <c r="F41" i="1"/>
  <c r="C16" i="18"/>
  <c r="C17" i="18" s="1"/>
  <c r="E145" i="1"/>
  <c r="F142" i="1"/>
  <c r="F143" i="1"/>
  <c r="F145" i="1"/>
  <c r="C27" i="29" s="1"/>
  <c r="E143" i="1"/>
  <c r="E142" i="1"/>
  <c r="E141" i="1"/>
  <c r="F138" i="1"/>
  <c r="F139" i="1"/>
  <c r="C25" i="29" s="1"/>
  <c r="F140" i="1"/>
  <c r="F141" i="1"/>
  <c r="C26" i="29" s="1"/>
  <c r="E138" i="1"/>
  <c r="E139" i="1"/>
  <c r="E140" i="1"/>
  <c r="F33" i="1" l="1"/>
  <c r="C13" i="29" s="1"/>
  <c r="E34" i="1"/>
  <c r="G33" i="1"/>
  <c r="F48" i="1"/>
  <c r="F54" i="1" s="1"/>
  <c r="H34" i="1"/>
  <c r="G34" i="1"/>
  <c r="D17" i="12"/>
  <c r="D23" i="12" s="1"/>
  <c r="D25" i="12" s="1"/>
  <c r="D36" i="12"/>
  <c r="D40" i="12" s="1"/>
  <c r="D42" i="12" s="1"/>
  <c r="G17" i="12"/>
  <c r="G23" i="12" s="1"/>
  <c r="G25" i="12" s="1"/>
  <c r="G34" i="12"/>
  <c r="G36" i="12" s="1"/>
  <c r="G40" i="12" s="1"/>
  <c r="G42" i="12" s="1"/>
  <c r="C28" i="29"/>
  <c r="G116" i="1"/>
  <c r="G121" i="1" s="1"/>
  <c r="J13" i="1"/>
  <c r="D8" i="12" l="1"/>
  <c r="D8" i="35"/>
  <c r="E17" i="35" s="1"/>
  <c r="E19" i="35" s="1"/>
  <c r="E23" i="35" s="1"/>
  <c r="E25" i="35" s="1"/>
  <c r="D26" i="35" s="1"/>
  <c r="J43" i="1"/>
  <c r="D7" i="35"/>
  <c r="J112" i="1"/>
  <c r="J112" i="36" s="1"/>
  <c r="J113" i="1"/>
  <c r="J113" i="36" s="1"/>
  <c r="J85" i="1"/>
  <c r="J85" i="36" s="1"/>
  <c r="E48" i="1"/>
  <c r="E54" i="1" s="1"/>
  <c r="E55" i="1" s="1"/>
  <c r="F34" i="1"/>
  <c r="H48" i="1"/>
  <c r="H54" i="1" s="1"/>
  <c r="H55" i="1" s="1"/>
  <c r="G48" i="1"/>
  <c r="G54" i="1" s="1"/>
  <c r="D9" i="35" s="1"/>
  <c r="D7" i="12"/>
  <c r="D16" i="18"/>
  <c r="F55" i="1"/>
  <c r="J81" i="1"/>
  <c r="J84" i="1"/>
  <c r="J84" i="36" s="1"/>
  <c r="J82" i="1"/>
  <c r="J82" i="36" s="1"/>
  <c r="J79" i="1"/>
  <c r="J41" i="1"/>
  <c r="J44" i="1"/>
  <c r="J44" i="36" s="1"/>
  <c r="F49" i="1"/>
  <c r="F68" i="1"/>
  <c r="J43" i="36" l="1"/>
  <c r="J46" i="36" s="1"/>
  <c r="D106" i="37" s="1"/>
  <c r="J46" i="1"/>
  <c r="D8" i="18"/>
  <c r="J81" i="36"/>
  <c r="J79" i="36"/>
  <c r="J38" i="35"/>
  <c r="K38" i="35" s="1"/>
  <c r="J21" i="35"/>
  <c r="K21" i="35" s="1"/>
  <c r="J163" i="36"/>
  <c r="J165" i="36"/>
  <c r="J34" i="35"/>
  <c r="J36" i="35" s="1"/>
  <c r="J17" i="35"/>
  <c r="J19" i="35" s="1"/>
  <c r="J166" i="36"/>
  <c r="H34" i="35"/>
  <c r="H36" i="35" s="1"/>
  <c r="H40" i="35" s="1"/>
  <c r="H42" i="35" s="1"/>
  <c r="G43" i="35" s="1"/>
  <c r="H17" i="35"/>
  <c r="H19" i="35" s="1"/>
  <c r="H23" i="35" s="1"/>
  <c r="H25" i="35" s="1"/>
  <c r="G26" i="35" s="1"/>
  <c r="J176" i="36"/>
  <c r="J175" i="36"/>
  <c r="D9" i="12"/>
  <c r="H17" i="12" s="1"/>
  <c r="H19" i="12" s="1"/>
  <c r="H23" i="12" s="1"/>
  <c r="H25" i="12" s="1"/>
  <c r="G26" i="12" s="1"/>
  <c r="E10" i="13"/>
  <c r="J176" i="1"/>
  <c r="J166" i="1"/>
  <c r="E68" i="1"/>
  <c r="E49" i="1"/>
  <c r="H49" i="1"/>
  <c r="C18" i="18"/>
  <c r="C19" i="18" s="1"/>
  <c r="H68" i="1"/>
  <c r="H69" i="1" s="1"/>
  <c r="G49" i="1"/>
  <c r="G55" i="1"/>
  <c r="G68" i="1"/>
  <c r="G69" i="1" s="1"/>
  <c r="J34" i="12"/>
  <c r="J36" i="12" s="1"/>
  <c r="J17" i="12"/>
  <c r="J19" i="12" s="1"/>
  <c r="J21" i="12"/>
  <c r="J38" i="12"/>
  <c r="E17" i="12"/>
  <c r="E19" i="12" s="1"/>
  <c r="E23" i="12" s="1"/>
  <c r="E25" i="12" s="1"/>
  <c r="D26" i="12" s="1"/>
  <c r="E36" i="12"/>
  <c r="E40" i="12" s="1"/>
  <c r="E42" i="12" s="1"/>
  <c r="D43" i="12" s="1"/>
  <c r="C14" i="29"/>
  <c r="J175" i="1"/>
  <c r="J165" i="1"/>
  <c r="J162" i="1"/>
  <c r="J160" i="1"/>
  <c r="J163" i="1"/>
  <c r="F72" i="1"/>
  <c r="F69" i="1"/>
  <c r="H29" i="13" l="1"/>
  <c r="H27" i="13"/>
  <c r="K27" i="13" s="1"/>
  <c r="J160" i="36"/>
  <c r="J162" i="36"/>
  <c r="H33" i="13"/>
  <c r="I33" i="13" s="1"/>
  <c r="H28" i="13"/>
  <c r="H34" i="12"/>
  <c r="H36" i="12" s="1"/>
  <c r="H40" i="12" s="1"/>
  <c r="H42" i="12" s="1"/>
  <c r="G43" i="12" s="1"/>
  <c r="E69" i="1"/>
  <c r="E72" i="1"/>
  <c r="E155" i="1" s="1"/>
  <c r="E158" i="1" s="1"/>
  <c r="E181" i="1" s="1"/>
  <c r="H72" i="1"/>
  <c r="H155" i="1" s="1"/>
  <c r="H158" i="1" s="1"/>
  <c r="G72" i="1"/>
  <c r="G73" i="1" s="1"/>
  <c r="K38" i="12"/>
  <c r="K21" i="12"/>
  <c r="C16" i="29"/>
  <c r="F127" i="1"/>
  <c r="F127" i="36" s="1"/>
  <c r="F155" i="1"/>
  <c r="F73" i="1"/>
  <c r="I29" i="13" l="1"/>
  <c r="K29" i="13"/>
  <c r="I27" i="13"/>
  <c r="H34" i="13"/>
  <c r="I34" i="13" s="1"/>
  <c r="H188" i="36"/>
  <c r="H189" i="36" s="1"/>
  <c r="H191" i="36" s="1"/>
  <c r="F128" i="36"/>
  <c r="F130" i="36" s="1"/>
  <c r="F132" i="36" s="1"/>
  <c r="K33" i="13"/>
  <c r="I28" i="13"/>
  <c r="K28" i="13"/>
  <c r="E73" i="1"/>
  <c r="E127" i="1"/>
  <c r="F158" i="1"/>
  <c r="F181" i="1" s="1"/>
  <c r="H73" i="1"/>
  <c r="H127" i="1"/>
  <c r="G127" i="1"/>
  <c r="H188" i="1"/>
  <c r="H189" i="1" s="1"/>
  <c r="D128" i="1"/>
  <c r="D130" i="1" s="1"/>
  <c r="D132" i="1" s="1"/>
  <c r="D188" i="1"/>
  <c r="D189" i="1" s="1"/>
  <c r="D191" i="1" s="1"/>
  <c r="C15" i="29"/>
  <c r="H181" i="1"/>
  <c r="K34" i="13" l="1"/>
  <c r="J126" i="1"/>
  <c r="J126" i="36" s="1"/>
  <c r="H127" i="36"/>
  <c r="G128" i="1"/>
  <c r="G130" i="1" s="1"/>
  <c r="G127" i="36"/>
  <c r="G128" i="36" s="1"/>
  <c r="G130" i="36" s="1"/>
  <c r="G107" i="36" s="1"/>
  <c r="G109" i="36" s="1"/>
  <c r="G132" i="36" s="1"/>
  <c r="E126" i="1"/>
  <c r="F188" i="1" s="1"/>
  <c r="F189" i="1" s="1"/>
  <c r="F191" i="1" s="1"/>
  <c r="E127" i="36"/>
  <c r="H128" i="1"/>
  <c r="D7" i="32" s="1"/>
  <c r="F128" i="1"/>
  <c r="C33" i="29" s="1"/>
  <c r="D192" i="1"/>
  <c r="E188" i="1" l="1"/>
  <c r="E189" i="1" s="1"/>
  <c r="E191" i="1" s="1"/>
  <c r="E192" i="1" s="1"/>
  <c r="J188" i="1"/>
  <c r="H128" i="36"/>
  <c r="H130" i="36" s="1"/>
  <c r="H132" i="36" s="1"/>
  <c r="J188" i="36"/>
  <c r="E128" i="1"/>
  <c r="E130" i="1" s="1"/>
  <c r="E132" i="1" s="1"/>
  <c r="E126" i="36"/>
  <c r="H130" i="1"/>
  <c r="H132" i="1" s="1"/>
  <c r="G43" i="32"/>
  <c r="H43" i="32" s="1"/>
  <c r="G41" i="32"/>
  <c r="H41" i="32" s="1"/>
  <c r="G42" i="32"/>
  <c r="H42" i="32" s="1"/>
  <c r="D8" i="32"/>
  <c r="C32" i="29"/>
  <c r="C17" i="29"/>
  <c r="F130" i="1"/>
  <c r="F132" i="1" s="1"/>
  <c r="H191" i="1"/>
  <c r="F188" i="36" l="1"/>
  <c r="F189" i="36" s="1"/>
  <c r="F191" i="36" s="1"/>
  <c r="E128" i="36"/>
  <c r="E130" i="36" s="1"/>
  <c r="E132" i="36" s="1"/>
  <c r="E188" i="36"/>
  <c r="E189" i="36" s="1"/>
  <c r="E191" i="36" s="1"/>
  <c r="E192" i="36" s="1"/>
  <c r="F192" i="1"/>
  <c r="H192" i="1" s="1"/>
  <c r="H46" i="32"/>
  <c r="D14" i="32" s="1"/>
  <c r="G46" i="32"/>
  <c r="E7" i="32"/>
  <c r="E6" i="32"/>
  <c r="F192" i="36" l="1"/>
  <c r="H192" i="36" s="1"/>
  <c r="H6" i="32"/>
  <c r="E8" i="32"/>
  <c r="D16" i="32"/>
  <c r="H7" i="32"/>
  <c r="G86" i="1"/>
  <c r="G107" i="1" s="1"/>
  <c r="G109" i="1" s="1"/>
  <c r="G132" i="1" s="1"/>
  <c r="H8" i="32" l="1"/>
  <c r="H14" i="32" s="1"/>
  <c r="G149" i="1"/>
  <c r="F7" i="33" l="1"/>
  <c r="I201" i="36"/>
  <c r="F7" i="30"/>
  <c r="B31" i="30" s="1"/>
  <c r="I201" i="1"/>
  <c r="U33" i="31"/>
  <c r="U9" i="31"/>
  <c r="N201" i="36" l="1"/>
  <c r="L201" i="36"/>
  <c r="K201" i="36"/>
  <c r="M201" i="36"/>
  <c r="J201" i="36"/>
  <c r="B30" i="30"/>
  <c r="B42" i="30"/>
  <c r="B53" i="30" s="1"/>
  <c r="B32" i="30"/>
  <c r="N201" i="1"/>
  <c r="J201" i="1"/>
  <c r="L201" i="1"/>
  <c r="K201" i="1"/>
  <c r="M201" i="1"/>
  <c r="L16" i="1"/>
  <c r="L16" i="36" s="1"/>
  <c r="S19" i="31"/>
  <c r="K8" i="1" s="1"/>
  <c r="K8" i="36" s="1"/>
  <c r="U20" i="31"/>
  <c r="L9" i="1" s="1"/>
  <c r="W8" i="31"/>
  <c r="W9" i="31"/>
  <c r="U7" i="31"/>
  <c r="J6" i="37" l="1"/>
  <c r="K13" i="36"/>
  <c r="K36" i="36"/>
  <c r="L37" i="1"/>
  <c r="L9" i="36"/>
  <c r="B41" i="30"/>
  <c r="B52" i="30" s="1"/>
  <c r="B29" i="30"/>
  <c r="B40" i="30" s="1"/>
  <c r="B51" i="30" s="1"/>
  <c r="B33" i="30"/>
  <c r="B44" i="30" s="1"/>
  <c r="B55" i="30" s="1"/>
  <c r="B43" i="30"/>
  <c r="B54" i="30" s="1"/>
  <c r="L10" i="1"/>
  <c r="L10" i="36" s="1"/>
  <c r="V33" i="31"/>
  <c r="Y8" i="31"/>
  <c r="Y33" i="31" s="1"/>
  <c r="W33" i="31"/>
  <c r="T19" i="31"/>
  <c r="V20" i="31"/>
  <c r="S22" i="31"/>
  <c r="L23" i="1"/>
  <c r="L30" i="1" s="1"/>
  <c r="W20" i="31"/>
  <c r="U19" i="31"/>
  <c r="W7" i="31"/>
  <c r="K36" i="1"/>
  <c r="K13" i="1"/>
  <c r="M10" i="1"/>
  <c r="M10" i="36" s="1"/>
  <c r="Y9" i="31"/>
  <c r="L38" i="36" l="1"/>
  <c r="K7" i="37"/>
  <c r="L37" i="36"/>
  <c r="L23" i="36"/>
  <c r="L30" i="36" s="1"/>
  <c r="E104" i="37"/>
  <c r="K41" i="36"/>
  <c r="M38" i="36"/>
  <c r="K85" i="1"/>
  <c r="K113" i="1"/>
  <c r="K113" i="36" s="1"/>
  <c r="K112" i="1"/>
  <c r="K112" i="36" s="1"/>
  <c r="Y20" i="31"/>
  <c r="Z33" i="31" s="1"/>
  <c r="X33" i="31"/>
  <c r="M16" i="1"/>
  <c r="M16" i="36" s="1"/>
  <c r="N16" i="1"/>
  <c r="N16" i="36" s="1"/>
  <c r="N10" i="1"/>
  <c r="N10" i="36" s="1"/>
  <c r="X20" i="31"/>
  <c r="M9" i="1"/>
  <c r="W19" i="31"/>
  <c r="Y7" i="31"/>
  <c r="V19" i="31"/>
  <c r="L8" i="1"/>
  <c r="L8" i="36" s="1"/>
  <c r="U22" i="31"/>
  <c r="E16" i="18"/>
  <c r="K84" i="1"/>
  <c r="K84" i="36" s="1"/>
  <c r="K41" i="1"/>
  <c r="K82" i="1"/>
  <c r="K82" i="36" s="1"/>
  <c r="K79" i="1"/>
  <c r="K79" i="36" s="1"/>
  <c r="K81" i="1"/>
  <c r="K81" i="36" s="1"/>
  <c r="K43" i="1"/>
  <c r="K44" i="1"/>
  <c r="K44" i="36" s="1"/>
  <c r="K46" i="1" l="1"/>
  <c r="K43" i="36"/>
  <c r="K46" i="36" s="1"/>
  <c r="E106" i="37" s="1"/>
  <c r="M37" i="1"/>
  <c r="M9" i="36"/>
  <c r="K6" i="37"/>
  <c r="L13" i="36"/>
  <c r="L36" i="36"/>
  <c r="N38" i="36"/>
  <c r="K162" i="36"/>
  <c r="K165" i="36"/>
  <c r="K160" i="36"/>
  <c r="K175" i="36"/>
  <c r="K163" i="36"/>
  <c r="K176" i="36"/>
  <c r="K166" i="1"/>
  <c r="K85" i="36"/>
  <c r="K176" i="1"/>
  <c r="N9" i="1"/>
  <c r="Z20" i="31"/>
  <c r="L36" i="1"/>
  <c r="M23" i="1"/>
  <c r="M30" i="1" s="1"/>
  <c r="Y19" i="31"/>
  <c r="Y22" i="31" s="1"/>
  <c r="K175" i="1"/>
  <c r="E8" i="18"/>
  <c r="K162" i="1"/>
  <c r="K160" i="1"/>
  <c r="K165" i="1"/>
  <c r="X19" i="31"/>
  <c r="M8" i="1"/>
  <c r="M8" i="36" s="1"/>
  <c r="W22" i="31"/>
  <c r="K163" i="1"/>
  <c r="L13" i="1"/>
  <c r="L6" i="37" l="1"/>
  <c r="M36" i="36"/>
  <c r="M13" i="36"/>
  <c r="F104" i="37"/>
  <c r="L41" i="36"/>
  <c r="M37" i="36"/>
  <c r="L7" i="37"/>
  <c r="M23" i="36"/>
  <c r="M30" i="36" s="1"/>
  <c r="N23" i="1"/>
  <c r="N30" i="1" s="1"/>
  <c r="N9" i="36"/>
  <c r="K166" i="36"/>
  <c r="L85" i="1"/>
  <c r="L85" i="36" s="1"/>
  <c r="L113" i="1"/>
  <c r="L113" i="36" s="1"/>
  <c r="L112" i="1"/>
  <c r="L112" i="36" s="1"/>
  <c r="N37" i="1"/>
  <c r="M36" i="1"/>
  <c r="Z19" i="31"/>
  <c r="N8" i="1"/>
  <c r="L43" i="1"/>
  <c r="L84" i="1"/>
  <c r="L84" i="36" s="1"/>
  <c r="L79" i="1"/>
  <c r="L79" i="36" s="1"/>
  <c r="F16" i="18"/>
  <c r="L82" i="1"/>
  <c r="L82" i="36" s="1"/>
  <c r="L44" i="1"/>
  <c r="L44" i="36" s="1"/>
  <c r="L81" i="1"/>
  <c r="L81" i="36" s="1"/>
  <c r="L41" i="1"/>
  <c r="M13" i="1"/>
  <c r="L166" i="1" l="1"/>
  <c r="L43" i="36"/>
  <c r="L46" i="36" s="1"/>
  <c r="L46" i="1"/>
  <c r="G104" i="37"/>
  <c r="M41" i="36"/>
  <c r="N36" i="1"/>
  <c r="N8" i="36"/>
  <c r="M7" i="37"/>
  <c r="N23" i="36"/>
  <c r="N30" i="36" s="1"/>
  <c r="N37" i="36"/>
  <c r="L165" i="36"/>
  <c r="L163" i="36"/>
  <c r="L162" i="36"/>
  <c r="L160" i="36"/>
  <c r="L175" i="36"/>
  <c r="L166" i="36"/>
  <c r="L176" i="36"/>
  <c r="L176" i="1"/>
  <c r="M85" i="1"/>
  <c r="M113" i="1"/>
  <c r="M113" i="36" s="1"/>
  <c r="M112" i="1"/>
  <c r="M112" i="36" s="1"/>
  <c r="N13" i="1"/>
  <c r="L160" i="1"/>
  <c r="L165" i="1"/>
  <c r="L163" i="1"/>
  <c r="L175" i="1"/>
  <c r="G16" i="18"/>
  <c r="M43" i="1"/>
  <c r="M44" i="1"/>
  <c r="M44" i="36" s="1"/>
  <c r="M84" i="1"/>
  <c r="M84" i="36" s="1"/>
  <c r="M82" i="1"/>
  <c r="M82" i="36" s="1"/>
  <c r="M163" i="36" s="1"/>
  <c r="M79" i="1"/>
  <c r="M79" i="36" s="1"/>
  <c r="M81" i="1"/>
  <c r="M41" i="1"/>
  <c r="F8" i="18"/>
  <c r="L162" i="1"/>
  <c r="M43" i="36" l="1"/>
  <c r="M46" i="36" s="1"/>
  <c r="M46" i="1"/>
  <c r="M6" i="37"/>
  <c r="N36" i="36"/>
  <c r="N13" i="36"/>
  <c r="M162" i="1"/>
  <c r="M81" i="36"/>
  <c r="M175" i="36"/>
  <c r="G106" i="37"/>
  <c r="M176" i="36"/>
  <c r="M166" i="1"/>
  <c r="M85" i="36"/>
  <c r="M160" i="36"/>
  <c r="F106" i="37"/>
  <c r="M165" i="36"/>
  <c r="N113" i="1"/>
  <c r="N112" i="1"/>
  <c r="M176" i="1"/>
  <c r="N41" i="1"/>
  <c r="N85" i="1"/>
  <c r="N43" i="1"/>
  <c r="N81" i="1"/>
  <c r="N82" i="1"/>
  <c r="N84" i="1"/>
  <c r="H16" i="18"/>
  <c r="N44" i="1"/>
  <c r="N44" i="36" s="1"/>
  <c r="N79" i="1"/>
  <c r="M163" i="1"/>
  <c r="G8" i="18"/>
  <c r="M175" i="1"/>
  <c r="M165" i="1"/>
  <c r="M160" i="1"/>
  <c r="N43" i="36" l="1"/>
  <c r="N46" i="36" s="1"/>
  <c r="H106" i="37" s="1"/>
  <c r="N46" i="1"/>
  <c r="H104" i="37"/>
  <c r="N41" i="36"/>
  <c r="N165" i="1"/>
  <c r="N84" i="36"/>
  <c r="N165" i="36" s="1"/>
  <c r="N166" i="1"/>
  <c r="N85" i="36"/>
  <c r="N166" i="36" s="1"/>
  <c r="N176" i="1"/>
  <c r="N113" i="36"/>
  <c r="N176" i="36" s="1"/>
  <c r="N163" i="1"/>
  <c r="N82" i="36"/>
  <c r="N163" i="36" s="1"/>
  <c r="M166" i="36"/>
  <c r="M162" i="36"/>
  <c r="N160" i="1"/>
  <c r="N79" i="36"/>
  <c r="H8" i="18"/>
  <c r="N81" i="36"/>
  <c r="N162" i="36" s="1"/>
  <c r="N175" i="1"/>
  <c r="N112" i="36"/>
  <c r="N175" i="36" s="1"/>
  <c r="N162" i="1"/>
  <c r="N160" i="36" l="1"/>
  <c r="L35" i="31"/>
  <c r="M35" i="31" s="1"/>
  <c r="O35" i="31" s="1"/>
  <c r="L28" i="31"/>
  <c r="R28" i="31" s="1"/>
  <c r="L26" i="31"/>
  <c r="M28" i="31" l="1"/>
  <c r="O28" i="31" s="1"/>
  <c r="N28" i="31"/>
  <c r="M26" i="31"/>
  <c r="O26" i="31" s="1"/>
  <c r="N26" i="31"/>
  <c r="Q26" i="31"/>
  <c r="R26" i="31" s="1"/>
  <c r="S28" i="31"/>
  <c r="Q34" i="31"/>
  <c r="J17" i="1" s="1"/>
  <c r="J24" i="1" l="1"/>
  <c r="J17" i="36"/>
  <c r="J24" i="36" s="1"/>
  <c r="J31" i="36" s="1"/>
  <c r="Q32" i="31"/>
  <c r="Q35" i="31" s="1"/>
  <c r="R35" i="31" s="1"/>
  <c r="S26" i="31"/>
  <c r="S32" i="31" s="1"/>
  <c r="K15" i="1" s="1"/>
  <c r="K15" i="36" s="1"/>
  <c r="U28" i="31"/>
  <c r="K17" i="1"/>
  <c r="K24" i="1" l="1"/>
  <c r="K17" i="36"/>
  <c r="K24" i="36" s="1"/>
  <c r="K31" i="36" s="1"/>
  <c r="K22" i="36"/>
  <c r="R32" i="31"/>
  <c r="J15" i="1"/>
  <c r="T32" i="31"/>
  <c r="U26" i="31"/>
  <c r="S35" i="31"/>
  <c r="T35" i="31" s="1"/>
  <c r="K20" i="1"/>
  <c r="K22" i="1"/>
  <c r="L17" i="1"/>
  <c r="W28" i="31"/>
  <c r="J20" i="1" l="1"/>
  <c r="J111" i="1" s="1"/>
  <c r="J111" i="36" s="1"/>
  <c r="J15" i="36"/>
  <c r="K29" i="36"/>
  <c r="K27" i="36"/>
  <c r="K20" i="36"/>
  <c r="E105" i="37" s="1"/>
  <c r="L24" i="1"/>
  <c r="L17" i="36"/>
  <c r="L24" i="36" s="1"/>
  <c r="L31" i="36" s="1"/>
  <c r="J22" i="1"/>
  <c r="J29" i="1" s="1"/>
  <c r="U32" i="31"/>
  <c r="W26" i="31"/>
  <c r="K29" i="1"/>
  <c r="K27" i="1"/>
  <c r="K48" i="1" s="1"/>
  <c r="K83" i="1"/>
  <c r="K111" i="1"/>
  <c r="K111" i="36" s="1"/>
  <c r="M17" i="1"/>
  <c r="Y28" i="31"/>
  <c r="N17" i="1" s="1"/>
  <c r="J83" i="1" l="1"/>
  <c r="N24" i="1"/>
  <c r="N17" i="36"/>
  <c r="M24" i="1"/>
  <c r="M17" i="36"/>
  <c r="M24" i="36" s="1"/>
  <c r="M31" i="36" s="1"/>
  <c r="J20" i="36"/>
  <c r="D105" i="37" s="1"/>
  <c r="J22" i="36"/>
  <c r="K34" i="36"/>
  <c r="K48" i="36"/>
  <c r="K174" i="36"/>
  <c r="J174" i="36"/>
  <c r="J116" i="36"/>
  <c r="K116" i="36"/>
  <c r="K86" i="1"/>
  <c r="K83" i="36"/>
  <c r="J86" i="1"/>
  <c r="J83" i="36"/>
  <c r="J27" i="1"/>
  <c r="J34" i="1" s="1"/>
  <c r="W32" i="31"/>
  <c r="W35" i="31" s="1"/>
  <c r="X35" i="31" s="1"/>
  <c r="Y26" i="31"/>
  <c r="Y32" i="31" s="1"/>
  <c r="L15" i="1"/>
  <c r="L15" i="36" s="1"/>
  <c r="V32" i="31"/>
  <c r="U35" i="31"/>
  <c r="V35" i="31" s="1"/>
  <c r="E9" i="18"/>
  <c r="E10" i="18" s="1"/>
  <c r="E12" i="18" s="1"/>
  <c r="K116" i="1"/>
  <c r="K34" i="1"/>
  <c r="K54" i="1"/>
  <c r="K164" i="1"/>
  <c r="J164" i="1"/>
  <c r="D9" i="18"/>
  <c r="D10" i="18" s="1"/>
  <c r="D12" i="18" s="1"/>
  <c r="D7" i="18" s="1"/>
  <c r="J118" i="36" s="1"/>
  <c r="J174" i="1"/>
  <c r="J116" i="1"/>
  <c r="K174" i="1"/>
  <c r="F15" i="33" l="1"/>
  <c r="F15" i="30"/>
  <c r="L20" i="36"/>
  <c r="F105" i="37" s="1"/>
  <c r="L22" i="36"/>
  <c r="J29" i="36"/>
  <c r="J27" i="36"/>
  <c r="N24" i="36"/>
  <c r="N31" i="36" s="1"/>
  <c r="K49" i="36"/>
  <c r="K54" i="36"/>
  <c r="K55" i="36" s="1"/>
  <c r="E107" i="37"/>
  <c r="K86" i="36"/>
  <c r="J119" i="36"/>
  <c r="J121" i="36" s="1"/>
  <c r="J184" i="36"/>
  <c r="J189" i="36" s="1"/>
  <c r="K164" i="36"/>
  <c r="K179" i="36" s="1"/>
  <c r="J164" i="36"/>
  <c r="J179" i="36" s="1"/>
  <c r="J86" i="36"/>
  <c r="J49" i="1"/>
  <c r="K179" i="1"/>
  <c r="J179" i="1"/>
  <c r="N15" i="1"/>
  <c r="N15" i="36" s="1"/>
  <c r="N22" i="36" s="1"/>
  <c r="Z32" i="31"/>
  <c r="X32" i="31"/>
  <c r="M15" i="1"/>
  <c r="M15" i="36" s="1"/>
  <c r="L20" i="1"/>
  <c r="L22" i="1"/>
  <c r="Y35" i="31"/>
  <c r="Z35" i="31" s="1"/>
  <c r="J149" i="1"/>
  <c r="D17" i="18"/>
  <c r="E7" i="18"/>
  <c r="K118" i="36" s="1"/>
  <c r="D23" i="18"/>
  <c r="D24" i="18" s="1"/>
  <c r="J57" i="36" s="1"/>
  <c r="J59" i="36" s="1"/>
  <c r="J118" i="1"/>
  <c r="K149" i="1"/>
  <c r="K49" i="1"/>
  <c r="N29" i="36" l="1"/>
  <c r="N27" i="36"/>
  <c r="J34" i="36"/>
  <c r="J48" i="36"/>
  <c r="L29" i="36"/>
  <c r="L27" i="36"/>
  <c r="M20" i="36"/>
  <c r="G105" i="37" s="1"/>
  <c r="M22" i="36"/>
  <c r="N20" i="36"/>
  <c r="H105" i="37" s="1"/>
  <c r="K119" i="36"/>
  <c r="K121" i="36" s="1"/>
  <c r="K149" i="36"/>
  <c r="J37" i="35"/>
  <c r="J20" i="35"/>
  <c r="J149" i="36"/>
  <c r="K184" i="36"/>
  <c r="D10" i="35"/>
  <c r="M22" i="1"/>
  <c r="M20" i="1"/>
  <c r="L29" i="1"/>
  <c r="L27" i="1"/>
  <c r="L83" i="1"/>
  <c r="L111" i="1"/>
  <c r="L111" i="36" s="1"/>
  <c r="N22" i="1"/>
  <c r="N20" i="1"/>
  <c r="E18" i="18"/>
  <c r="E19" i="18" s="1"/>
  <c r="K55" i="1"/>
  <c r="J184" i="1"/>
  <c r="J189" i="1" s="1"/>
  <c r="J37" i="12"/>
  <c r="J119" i="1"/>
  <c r="J121" i="1" s="1"/>
  <c r="J20" i="12"/>
  <c r="D14" i="18"/>
  <c r="J57" i="1"/>
  <c r="J59" i="1" s="1"/>
  <c r="J68" i="1" s="1"/>
  <c r="E17" i="18"/>
  <c r="K118" i="1"/>
  <c r="E23" i="18"/>
  <c r="E24" i="18" s="1"/>
  <c r="K57" i="36" s="1"/>
  <c r="K59" i="36" s="1"/>
  <c r="K68" i="36" s="1"/>
  <c r="M29" i="36" l="1"/>
  <c r="M27" i="36"/>
  <c r="J54" i="36"/>
  <c r="J55" i="36" s="1"/>
  <c r="J49" i="36"/>
  <c r="D107" i="37"/>
  <c r="L34" i="36"/>
  <c r="L48" i="36"/>
  <c r="N34" i="36"/>
  <c r="N48" i="36"/>
  <c r="J68" i="36"/>
  <c r="K69" i="36"/>
  <c r="K71" i="36"/>
  <c r="K72" i="36" s="1"/>
  <c r="K34" i="35"/>
  <c r="K36" i="35" s="1"/>
  <c r="K17" i="35"/>
  <c r="K19" i="35" s="1"/>
  <c r="J22" i="35"/>
  <c r="J23" i="35" s="1"/>
  <c r="J25" i="35" s="1"/>
  <c r="K20" i="35"/>
  <c r="K22" i="35" s="1"/>
  <c r="J39" i="35"/>
  <c r="J40" i="35" s="1"/>
  <c r="J42" i="35" s="1"/>
  <c r="K37" i="35"/>
  <c r="K39" i="35" s="1"/>
  <c r="L116" i="36"/>
  <c r="L174" i="36"/>
  <c r="L86" i="1"/>
  <c r="L83" i="36"/>
  <c r="E11" i="13"/>
  <c r="F14" i="33"/>
  <c r="J55" i="1"/>
  <c r="D10" i="12"/>
  <c r="K34" i="12" s="1"/>
  <c r="K36" i="12" s="1"/>
  <c r="D18" i="18"/>
  <c r="D19" i="18" s="1"/>
  <c r="N83" i="1"/>
  <c r="N83" i="36" s="1"/>
  <c r="N86" i="36" s="1"/>
  <c r="N111" i="1"/>
  <c r="L34" i="1"/>
  <c r="L48" i="1"/>
  <c r="L54" i="1" s="1"/>
  <c r="N27" i="1"/>
  <c r="N29" i="1"/>
  <c r="L174" i="1"/>
  <c r="L116" i="1"/>
  <c r="M111" i="1"/>
  <c r="M111" i="36" s="1"/>
  <c r="M83" i="1"/>
  <c r="L164" i="1"/>
  <c r="F9" i="18"/>
  <c r="F10" i="18" s="1"/>
  <c r="F12" i="18" s="1"/>
  <c r="F7" i="18" s="1"/>
  <c r="M27" i="1"/>
  <c r="M29" i="1"/>
  <c r="K37" i="12"/>
  <c r="K39" i="12" s="1"/>
  <c r="J39" i="12"/>
  <c r="J40" i="12" s="1"/>
  <c r="J42" i="12" s="1"/>
  <c r="K57" i="1"/>
  <c r="K59" i="1" s="1"/>
  <c r="K68" i="1" s="1"/>
  <c r="E14" i="18"/>
  <c r="J69" i="1"/>
  <c r="J71" i="1"/>
  <c r="J72" i="1" s="1"/>
  <c r="K119" i="1"/>
  <c r="K121" i="1" s="1"/>
  <c r="J22" i="12"/>
  <c r="J23" i="12" s="1"/>
  <c r="J25" i="12" s="1"/>
  <c r="K20" i="12"/>
  <c r="K22" i="12" s="1"/>
  <c r="K184" i="1"/>
  <c r="L149" i="1" l="1"/>
  <c r="L42" i="13"/>
  <c r="L43" i="13"/>
  <c r="L28" i="13"/>
  <c r="L34" i="13"/>
  <c r="L27" i="13"/>
  <c r="F107" i="37"/>
  <c r="L54" i="36"/>
  <c r="L55" i="36" s="1"/>
  <c r="L49" i="36"/>
  <c r="J71" i="36"/>
  <c r="J72" i="36" s="1"/>
  <c r="J69" i="36"/>
  <c r="M34" i="36"/>
  <c r="M48" i="36"/>
  <c r="H107" i="37"/>
  <c r="N49" i="36"/>
  <c r="N54" i="36"/>
  <c r="N55" i="36" s="1"/>
  <c r="M116" i="36"/>
  <c r="K23" i="35"/>
  <c r="K25" i="35" s="1"/>
  <c r="J26" i="35" s="1"/>
  <c r="F17" i="18"/>
  <c r="L118" i="36"/>
  <c r="K40" i="35"/>
  <c r="K42" i="35" s="1"/>
  <c r="J43" i="35" s="1"/>
  <c r="K155" i="36"/>
  <c r="K158" i="36" s="1"/>
  <c r="K181" i="36" s="1"/>
  <c r="K73" i="36"/>
  <c r="M86" i="1"/>
  <c r="M83" i="36"/>
  <c r="N116" i="1"/>
  <c r="N111" i="36"/>
  <c r="N116" i="36" s="1"/>
  <c r="N149" i="36" s="1"/>
  <c r="L86" i="36"/>
  <c r="L164" i="36"/>
  <c r="L179" i="36" s="1"/>
  <c r="M174" i="36"/>
  <c r="L29" i="13"/>
  <c r="L33" i="13"/>
  <c r="L118" i="1"/>
  <c r="L184" i="1" s="1"/>
  <c r="K17" i="12"/>
  <c r="K19" i="12" s="1"/>
  <c r="K23" i="12" s="1"/>
  <c r="K25" i="12" s="1"/>
  <c r="J26" i="12" s="1"/>
  <c r="L179" i="1"/>
  <c r="H9" i="18"/>
  <c r="H10" i="18" s="1"/>
  <c r="H12" i="18" s="1"/>
  <c r="N86" i="1"/>
  <c r="L49" i="1"/>
  <c r="F23" i="18"/>
  <c r="F24" i="18" s="1"/>
  <c r="M34" i="1"/>
  <c r="M48" i="1"/>
  <c r="M54" i="1" s="1"/>
  <c r="M164" i="1"/>
  <c r="G9" i="18"/>
  <c r="G10" i="18" s="1"/>
  <c r="G12" i="18" s="1"/>
  <c r="G7" i="18" s="1"/>
  <c r="M118" i="36" s="1"/>
  <c r="N164" i="1"/>
  <c r="M174" i="1"/>
  <c r="N174" i="1"/>
  <c r="M116" i="1"/>
  <c r="N48" i="1"/>
  <c r="N54" i="1" s="1"/>
  <c r="N34" i="1"/>
  <c r="K40" i="12"/>
  <c r="K42" i="12" s="1"/>
  <c r="J43" i="12" s="1"/>
  <c r="J127" i="1"/>
  <c r="J127" i="36" s="1"/>
  <c r="J155" i="1"/>
  <c r="J73" i="1"/>
  <c r="K71" i="1"/>
  <c r="K72" i="1" s="1"/>
  <c r="K69" i="1"/>
  <c r="N149" i="1" l="1"/>
  <c r="M149" i="1"/>
  <c r="J73" i="36"/>
  <c r="J155" i="36"/>
  <c r="J158" i="36" s="1"/>
  <c r="J181" i="36" s="1"/>
  <c r="J191" i="36" s="1"/>
  <c r="H35" i="13"/>
  <c r="I35" i="13" s="1"/>
  <c r="M49" i="36"/>
  <c r="G107" i="37"/>
  <c r="M54" i="36"/>
  <c r="M55" i="36" s="1"/>
  <c r="H30" i="13"/>
  <c r="J128" i="36"/>
  <c r="J130" i="36" s="1"/>
  <c r="J107" i="36" s="1"/>
  <c r="M119" i="36"/>
  <c r="M121" i="36" s="1"/>
  <c r="L57" i="1"/>
  <c r="L59" i="1" s="1"/>
  <c r="L68" i="1" s="1"/>
  <c r="L71" i="1" s="1"/>
  <c r="L72" i="1" s="1"/>
  <c r="L57" i="36"/>
  <c r="L59" i="36" s="1"/>
  <c r="L68" i="36" s="1"/>
  <c r="L149" i="36"/>
  <c r="N164" i="36"/>
  <c r="M86" i="36"/>
  <c r="M184" i="36"/>
  <c r="L119" i="36"/>
  <c r="L121" i="36" s="1"/>
  <c r="L184" i="36"/>
  <c r="M164" i="36"/>
  <c r="M179" i="36" s="1"/>
  <c r="N174" i="36"/>
  <c r="L119" i="1"/>
  <c r="L121" i="1" s="1"/>
  <c r="J158" i="1"/>
  <c r="J181" i="1" s="1"/>
  <c r="J191" i="1" s="1"/>
  <c r="F27" i="33" s="1"/>
  <c r="F29" i="33" s="1"/>
  <c r="M179" i="1"/>
  <c r="N179" i="1"/>
  <c r="G23" i="18"/>
  <c r="G24" i="18" s="1"/>
  <c r="G17" i="18"/>
  <c r="H7" i="18"/>
  <c r="M118" i="1"/>
  <c r="M184" i="1" s="1"/>
  <c r="L55" i="1"/>
  <c r="F18" i="18"/>
  <c r="F19" i="18" s="1"/>
  <c r="F14" i="18"/>
  <c r="N49" i="1"/>
  <c r="M49" i="1"/>
  <c r="K127" i="1"/>
  <c r="K127" i="36" s="1"/>
  <c r="K73" i="1"/>
  <c r="K155" i="1"/>
  <c r="K126" i="1"/>
  <c r="K126" i="36" s="1"/>
  <c r="J128" i="1"/>
  <c r="J130" i="1" s="1"/>
  <c r="J107" i="1" s="1"/>
  <c r="I30" i="13" l="1"/>
  <c r="H37" i="13"/>
  <c r="H38" i="13"/>
  <c r="I38" i="13" s="1"/>
  <c r="L69" i="1"/>
  <c r="L30" i="13"/>
  <c r="K30" i="13"/>
  <c r="L35" i="13"/>
  <c r="N179" i="36"/>
  <c r="K35" i="13"/>
  <c r="J192" i="36"/>
  <c r="J194" i="36" s="1"/>
  <c r="J198" i="36"/>
  <c r="J200" i="36" s="1"/>
  <c r="J203" i="36" s="1"/>
  <c r="G14" i="18"/>
  <c r="M57" i="36"/>
  <c r="M59" i="36" s="1"/>
  <c r="M68" i="36" s="1"/>
  <c r="K128" i="36"/>
  <c r="K130" i="36" s="1"/>
  <c r="K107" i="36" s="1"/>
  <c r="N118" i="1"/>
  <c r="N119" i="1" s="1"/>
  <c r="N121" i="1" s="1"/>
  <c r="N118" i="36"/>
  <c r="M149" i="36"/>
  <c r="L71" i="36"/>
  <c r="L72" i="36" s="1"/>
  <c r="L69" i="36"/>
  <c r="J109" i="36"/>
  <c r="J132" i="36" s="1"/>
  <c r="K188" i="36"/>
  <c r="K189" i="36" s="1"/>
  <c r="K191" i="36" s="1"/>
  <c r="F27" i="30"/>
  <c r="F32" i="30" s="1"/>
  <c r="J198" i="1"/>
  <c r="J200" i="1" s="1"/>
  <c r="J203" i="1" s="1"/>
  <c r="J192" i="1"/>
  <c r="J194" i="1" s="1"/>
  <c r="K158" i="1"/>
  <c r="K181" i="1" s="1"/>
  <c r="M57" i="1"/>
  <c r="M59" i="1" s="1"/>
  <c r="M68" i="1" s="1"/>
  <c r="M69" i="1" s="1"/>
  <c r="H23" i="18"/>
  <c r="H24" i="18" s="1"/>
  <c r="H17" i="18"/>
  <c r="H18" i="18"/>
  <c r="H19" i="18" s="1"/>
  <c r="N55" i="1"/>
  <c r="M119" i="1"/>
  <c r="M121" i="1" s="1"/>
  <c r="G18" i="18"/>
  <c r="G19" i="18" s="1"/>
  <c r="M55" i="1"/>
  <c r="K128" i="1"/>
  <c r="K130" i="1" s="1"/>
  <c r="K107" i="1" s="1"/>
  <c r="L126" i="1"/>
  <c r="L126" i="36" s="1"/>
  <c r="J109" i="1"/>
  <c r="J132" i="1" s="1"/>
  <c r="L127" i="1"/>
  <c r="L127" i="36" s="1"/>
  <c r="L73" i="1"/>
  <c r="L155" i="1"/>
  <c r="K188" i="1"/>
  <c r="K189" i="1" s="1"/>
  <c r="N184" i="1" l="1"/>
  <c r="I37" i="13"/>
  <c r="K37" i="13"/>
  <c r="K38" i="13"/>
  <c r="L38" i="13"/>
  <c r="L37" i="13"/>
  <c r="L46" i="13" s="1"/>
  <c r="K109" i="36"/>
  <c r="K132" i="36" s="1"/>
  <c r="L128" i="36"/>
  <c r="L130" i="36" s="1"/>
  <c r="L107" i="36" s="1"/>
  <c r="L109" i="36" s="1"/>
  <c r="L132" i="36" s="1"/>
  <c r="H14" i="18"/>
  <c r="N57" i="36"/>
  <c r="N59" i="36" s="1"/>
  <c r="N68" i="36" s="1"/>
  <c r="L188" i="36"/>
  <c r="L189" i="36" s="1"/>
  <c r="N119" i="36"/>
  <c r="N121" i="36" s="1"/>
  <c r="N184" i="36"/>
  <c r="M69" i="36"/>
  <c r="M71" i="36"/>
  <c r="M72" i="36" s="1"/>
  <c r="K198" i="36"/>
  <c r="K200" i="36" s="1"/>
  <c r="K203" i="36" s="1"/>
  <c r="K192" i="36"/>
  <c r="L155" i="36"/>
  <c r="L158" i="36" s="1"/>
  <c r="L181" i="36" s="1"/>
  <c r="L73" i="36"/>
  <c r="N57" i="1"/>
  <c r="N59" i="1" s="1"/>
  <c r="N68" i="1" s="1"/>
  <c r="N69" i="1" s="1"/>
  <c r="M71" i="1"/>
  <c r="M72" i="1" s="1"/>
  <c r="M127" i="1" s="1"/>
  <c r="M127" i="36" s="1"/>
  <c r="F30" i="30"/>
  <c r="F33" i="30"/>
  <c r="F29" i="30"/>
  <c r="F31" i="30"/>
  <c r="K191" i="1"/>
  <c r="L158" i="1"/>
  <c r="L181" i="1" s="1"/>
  <c r="K109" i="1"/>
  <c r="K132" i="1" s="1"/>
  <c r="L128" i="1"/>
  <c r="L130" i="1" s="1"/>
  <c r="L107" i="1" s="1"/>
  <c r="M126" i="1"/>
  <c r="L188" i="1"/>
  <c r="L189" i="1" s="1"/>
  <c r="M155" i="36" l="1"/>
  <c r="M158" i="36" s="1"/>
  <c r="M181" i="36" s="1"/>
  <c r="M73" i="36"/>
  <c r="L191" i="36"/>
  <c r="L198" i="36" s="1"/>
  <c r="L200" i="36" s="1"/>
  <c r="L203" i="36" s="1"/>
  <c r="M188" i="1"/>
  <c r="M189" i="1" s="1"/>
  <c r="M126" i="36"/>
  <c r="N71" i="36"/>
  <c r="N72" i="36" s="1"/>
  <c r="N69" i="36"/>
  <c r="K194" i="36"/>
  <c r="G27" i="30"/>
  <c r="G33" i="30" s="1"/>
  <c r="G27" i="33"/>
  <c r="G29" i="33" s="1"/>
  <c r="N71" i="1"/>
  <c r="N72" i="1" s="1"/>
  <c r="N155" i="1" s="1"/>
  <c r="M73" i="1"/>
  <c r="M155" i="1"/>
  <c r="M158" i="1" s="1"/>
  <c r="M181" i="1" s="1"/>
  <c r="K192" i="1"/>
  <c r="K194" i="1" s="1"/>
  <c r="K198" i="1"/>
  <c r="K200" i="1" s="1"/>
  <c r="K203" i="1" s="1"/>
  <c r="L191" i="1"/>
  <c r="H27" i="33" s="1"/>
  <c r="H29" i="33" s="1"/>
  <c r="G29" i="30"/>
  <c r="M128" i="1"/>
  <c r="M130" i="1" s="1"/>
  <c r="M107" i="1" s="1"/>
  <c r="N126" i="1"/>
  <c r="N126" i="36" s="1"/>
  <c r="L109" i="1"/>
  <c r="L132" i="1" s="1"/>
  <c r="G30" i="30" l="1"/>
  <c r="M191" i="1"/>
  <c r="M198" i="1" s="1"/>
  <c r="M200" i="1" s="1"/>
  <c r="M203" i="1" s="1"/>
  <c r="L192" i="36"/>
  <c r="N155" i="36"/>
  <c r="N158" i="36" s="1"/>
  <c r="N181" i="36" s="1"/>
  <c r="N73" i="36"/>
  <c r="N188" i="36"/>
  <c r="N189" i="36" s="1"/>
  <c r="M128" i="36"/>
  <c r="M130" i="36" s="1"/>
  <c r="M107" i="36" s="1"/>
  <c r="M109" i="36" s="1"/>
  <c r="M132" i="36" s="1"/>
  <c r="M188" i="36"/>
  <c r="M189" i="36" s="1"/>
  <c r="M191" i="36" s="1"/>
  <c r="M198" i="36" s="1"/>
  <c r="M200" i="36" s="1"/>
  <c r="M203" i="36" s="1"/>
  <c r="G32" i="30"/>
  <c r="G31" i="30"/>
  <c r="N127" i="1"/>
  <c r="N73" i="1"/>
  <c r="L192" i="1"/>
  <c r="L194" i="1" s="1"/>
  <c r="H27" i="30"/>
  <c r="H32" i="30" s="1"/>
  <c r="L198" i="1"/>
  <c r="L200" i="1" s="1"/>
  <c r="L203" i="1" s="1"/>
  <c r="N158" i="1"/>
  <c r="N181" i="1" s="1"/>
  <c r="N188" i="1"/>
  <c r="N189" i="1" s="1"/>
  <c r="M109" i="1"/>
  <c r="M132" i="1" s="1"/>
  <c r="I27" i="30" l="1"/>
  <c r="I33" i="30" s="1"/>
  <c r="I27" i="33"/>
  <c r="I29" i="33" s="1"/>
  <c r="N128" i="1"/>
  <c r="N130" i="1" s="1"/>
  <c r="N107" i="1" s="1"/>
  <c r="N109" i="1" s="1"/>
  <c r="N132" i="1" s="1"/>
  <c r="N127" i="36"/>
  <c r="N128" i="36" s="1"/>
  <c r="N130" i="36" s="1"/>
  <c r="N107" i="36" s="1"/>
  <c r="N109" i="36" s="1"/>
  <c r="N132" i="36" s="1"/>
  <c r="N191" i="36"/>
  <c r="N198" i="36" s="1"/>
  <c r="N199" i="36" s="1"/>
  <c r="N200" i="36" s="1"/>
  <c r="N203" i="36" s="1"/>
  <c r="J205" i="36" s="1"/>
  <c r="L194" i="36"/>
  <c r="M192" i="36"/>
  <c r="M192" i="1"/>
  <c r="M194" i="1" s="1"/>
  <c r="H31" i="30"/>
  <c r="H30" i="30"/>
  <c r="H29" i="30"/>
  <c r="H33" i="30"/>
  <c r="N191" i="1"/>
  <c r="I29" i="30" l="1"/>
  <c r="I31" i="30"/>
  <c r="I30" i="30"/>
  <c r="I32" i="30"/>
  <c r="M194" i="36"/>
  <c r="N192" i="36"/>
  <c r="N194" i="36" s="1"/>
  <c r="N198" i="1"/>
  <c r="J27" i="33"/>
  <c r="J28" i="33" s="1"/>
  <c r="J29" i="33" s="1"/>
  <c r="F31" i="33" s="1"/>
  <c r="F33" i="33" s="1"/>
  <c r="N192" i="1"/>
  <c r="N194" i="1" s="1"/>
  <c r="J27" i="30"/>
  <c r="F42" i="30" s="1"/>
  <c r="N199" i="1" l="1"/>
  <c r="N200" i="1" s="1"/>
  <c r="N203" i="1" s="1"/>
  <c r="J205" i="1" s="1"/>
  <c r="H40" i="30"/>
  <c r="J30" i="30"/>
  <c r="D30" i="30" s="1"/>
  <c r="D41" i="30" s="1"/>
  <c r="H44" i="30"/>
  <c r="G41" i="30"/>
  <c r="F40" i="30"/>
  <c r="F44" i="30"/>
  <c r="G44" i="30"/>
  <c r="F41" i="30"/>
  <c r="J31" i="30"/>
  <c r="G40" i="30"/>
  <c r="F43" i="30"/>
  <c r="J33" i="30"/>
  <c r="D33" i="30" s="1"/>
  <c r="D44" i="30" s="1"/>
  <c r="H43" i="30"/>
  <c r="H41" i="30"/>
  <c r="J29" i="30"/>
  <c r="D29" i="30" s="1"/>
  <c r="D40" i="30" s="1"/>
  <c r="J32" i="30"/>
  <c r="D32" i="30" s="1"/>
  <c r="D43" i="30" s="1"/>
  <c r="G42" i="30"/>
  <c r="H42" i="30"/>
  <c r="G43" i="30"/>
  <c r="D31" i="30" l="1"/>
  <c r="D42" i="30" s="1"/>
  <c r="L40" i="30"/>
  <c r="J51" i="30" s="1"/>
  <c r="L43" i="30"/>
  <c r="F54" i="30" s="1"/>
  <c r="L44" i="30"/>
  <c r="J55" i="30" s="1"/>
  <c r="J41" i="30"/>
  <c r="D52" i="30" s="1"/>
  <c r="J44" i="30"/>
  <c r="H55" i="30" s="1"/>
  <c r="K43" i="30"/>
  <c r="E54" i="30" s="1"/>
  <c r="K44" i="30"/>
  <c r="E55" i="30" s="1"/>
  <c r="L41" i="30"/>
  <c r="J52" i="30" s="1"/>
  <c r="K40" i="30"/>
  <c r="Q40" i="30" s="1"/>
  <c r="J43" i="30"/>
  <c r="H54" i="30" s="1"/>
  <c r="K41" i="30"/>
  <c r="Q41" i="30" s="1"/>
  <c r="J40" i="30"/>
  <c r="H51" i="30" s="1"/>
  <c r="J42" i="30" l="1"/>
  <c r="L42" i="30"/>
  <c r="J53" i="30" s="1"/>
  <c r="K42" i="30"/>
  <c r="R40" i="30"/>
  <c r="F51" i="30"/>
  <c r="R44" i="30"/>
  <c r="J54" i="30"/>
  <c r="P44" i="30"/>
  <c r="F55" i="30"/>
  <c r="R43" i="30"/>
  <c r="I54" i="30"/>
  <c r="Q43" i="30"/>
  <c r="I55" i="30"/>
  <c r="I53" i="30"/>
  <c r="Q44" i="30"/>
  <c r="D55" i="30"/>
  <c r="H52" i="30"/>
  <c r="P41" i="30"/>
  <c r="F52" i="30"/>
  <c r="I52" i="30"/>
  <c r="E51" i="30"/>
  <c r="P40" i="30"/>
  <c r="I51" i="30"/>
  <c r="R41" i="30"/>
  <c r="D54" i="30"/>
  <c r="P43" i="30"/>
  <c r="D51" i="30"/>
  <c r="E52" i="30"/>
  <c r="R42" i="30" l="1"/>
  <c r="F53" i="30"/>
  <c r="E53" i="30"/>
  <c r="Q42" i="30"/>
  <c r="H23" i="13" s="1"/>
  <c r="K23" i="13" s="1"/>
  <c r="P42" i="30"/>
  <c r="H53" i="30"/>
  <c r="D53" i="30"/>
  <c r="H39" i="13"/>
  <c r="H22" i="13"/>
  <c r="I22" i="13" s="1"/>
  <c r="H24" i="13"/>
  <c r="I24" i="13" s="1"/>
  <c r="L23" i="13" l="1"/>
  <c r="L39" i="13" s="1"/>
  <c r="I23" i="13"/>
  <c r="L28" i="38"/>
  <c r="L26" i="38"/>
  <c r="L22" i="13"/>
  <c r="K22" i="13"/>
  <c r="L24" i="13"/>
  <c r="K24" i="13"/>
  <c r="I39" i="13" l="1"/>
  <c r="H46" i="13"/>
  <c r="I46" i="13" s="1"/>
</calcChain>
</file>

<file path=xl/sharedStrings.xml><?xml version="1.0" encoding="utf-8"?>
<sst xmlns="http://schemas.openxmlformats.org/spreadsheetml/2006/main" count="868" uniqueCount="459">
  <si>
    <t>Costo de Ventas</t>
  </si>
  <si>
    <t>Utilidad Bruta</t>
  </si>
  <si>
    <t>Margen Bruto</t>
  </si>
  <si>
    <t>Crecimiento en Ventas</t>
  </si>
  <si>
    <t xml:space="preserve">Ventas  </t>
  </si>
  <si>
    <t>Concepto</t>
  </si>
  <si>
    <t>Total Gastos</t>
  </si>
  <si>
    <t>Margen de Operación</t>
  </si>
  <si>
    <t>Utilidad de Operación</t>
  </si>
  <si>
    <t>Gastos Financieros</t>
  </si>
  <si>
    <t>Productos Financieros</t>
  </si>
  <si>
    <t>CIF</t>
  </si>
  <si>
    <t>Otros Gastos</t>
  </si>
  <si>
    <t>Otros Productos</t>
  </si>
  <si>
    <t>Otros Productos y Otros Gastos</t>
  </si>
  <si>
    <t>Utilidad Antes de Impuestos</t>
  </si>
  <si>
    <t xml:space="preserve">Margen Antes de Impuestos </t>
  </si>
  <si>
    <t>Impuestos</t>
  </si>
  <si>
    <t>Utilidad Neta Despues de Impuestos</t>
  </si>
  <si>
    <t xml:space="preserve">Margen Neto Despues de Impuestos </t>
  </si>
  <si>
    <t>Efectivo y Equivalentes</t>
  </si>
  <si>
    <t>Clientes</t>
  </si>
  <si>
    <t>Deudores Diversos</t>
  </si>
  <si>
    <t>Inventarios</t>
  </si>
  <si>
    <t>Impuestos a Favor</t>
  </si>
  <si>
    <t>Otros Activos Circulantes</t>
  </si>
  <si>
    <t>Total Activo Circulante</t>
  </si>
  <si>
    <t>Terreno</t>
  </si>
  <si>
    <t>Edificios</t>
  </si>
  <si>
    <t>Equipo de transporte</t>
  </si>
  <si>
    <t>Mobiliario y equipo</t>
  </si>
  <si>
    <t>Equipo de computo</t>
  </si>
  <si>
    <t>(Depreciacion acumulada)</t>
  </si>
  <si>
    <t>Total de Activos Fijos</t>
  </si>
  <si>
    <t>Total de Activo Diferido</t>
  </si>
  <si>
    <t>Excedente de efectivo</t>
  </si>
  <si>
    <t>SUMA ACTIVO</t>
  </si>
  <si>
    <t>Impuestos por Pagar</t>
  </si>
  <si>
    <t>PTU</t>
  </si>
  <si>
    <t>Total de Pasivo Circulante</t>
  </si>
  <si>
    <t>Total de Pasivo No Circulante</t>
  </si>
  <si>
    <t>SUMA PASIVO</t>
  </si>
  <si>
    <t>Capital Social</t>
  </si>
  <si>
    <t>Reserva legal</t>
  </si>
  <si>
    <t>Resultados de Ejercicios Anteriores</t>
  </si>
  <si>
    <t>Resultados del Ejercicio</t>
  </si>
  <si>
    <t>Total de Capital Contable</t>
  </si>
  <si>
    <t>SUMA PASIVO Y CAPITAL CONTABLE</t>
  </si>
  <si>
    <t>Otros Ingresos</t>
  </si>
  <si>
    <t>Otros Ajustes</t>
  </si>
  <si>
    <t xml:space="preserve">Depreciaciones </t>
  </si>
  <si>
    <t>EBITDA</t>
  </si>
  <si>
    <t>Margen EBITDA</t>
  </si>
  <si>
    <t>Inventarios (dias)</t>
  </si>
  <si>
    <t>Otros activos (% s/ ventas)</t>
  </si>
  <si>
    <t>Caja y Bancos (dias)</t>
  </si>
  <si>
    <t>Deudores Diversos (dias)</t>
  </si>
  <si>
    <t>Impuestos a Favor (dias)</t>
  </si>
  <si>
    <t>Capital de Trabajo</t>
  </si>
  <si>
    <t>Depositos en garantia</t>
  </si>
  <si>
    <t>PROYECTADOS</t>
  </si>
  <si>
    <t>H</t>
  </si>
  <si>
    <t>P</t>
  </si>
  <si>
    <t>Clientes (dias)</t>
  </si>
  <si>
    <t>Resultado del Ejercicio</t>
  </si>
  <si>
    <t>Depreciacion</t>
  </si>
  <si>
    <t>Flujo Generado</t>
  </si>
  <si>
    <t xml:space="preserve">Requerimientos de Capital de Trabajo </t>
  </si>
  <si>
    <t>Flujo Operativo</t>
  </si>
  <si>
    <t>Capex</t>
  </si>
  <si>
    <t>Flujo No Operativo</t>
  </si>
  <si>
    <t>Flujo del Ejercicio</t>
  </si>
  <si>
    <t xml:space="preserve">Flujo Acumulado </t>
  </si>
  <si>
    <t xml:space="preserve">Nombre </t>
  </si>
  <si>
    <t xml:space="preserve">Region </t>
  </si>
  <si>
    <t>TEV / LTM Revenues</t>
  </si>
  <si>
    <t>TEV / LTM EBITDA</t>
  </si>
  <si>
    <t>Revenues LTM</t>
  </si>
  <si>
    <t xml:space="preserve">Margen Neto </t>
  </si>
  <si>
    <t>Cifras: millones de dólares</t>
  </si>
  <si>
    <t>Comps</t>
  </si>
  <si>
    <t>Business Description</t>
  </si>
  <si>
    <t>Merger/Acquisition</t>
  </si>
  <si>
    <t xml:space="preserve">Tipo de Transaccion </t>
  </si>
  <si>
    <t>Transaction Value</t>
  </si>
  <si>
    <t>Trans</t>
  </si>
  <si>
    <t>Fecha</t>
  </si>
  <si>
    <t>No.</t>
  </si>
  <si>
    <t>Ajustes</t>
  </si>
  <si>
    <t>Por No ser Empresa Pública</t>
  </si>
  <si>
    <t>Total Ajustes</t>
  </si>
  <si>
    <t>Multiplos Ajustados</t>
  </si>
  <si>
    <t>Ventas</t>
  </si>
  <si>
    <t xml:space="preserve">Multiplo </t>
  </si>
  <si>
    <t>Enterprise Value</t>
  </si>
  <si>
    <t>Deuda total</t>
  </si>
  <si>
    <t>Caja</t>
  </si>
  <si>
    <t>Deuda Neta</t>
  </si>
  <si>
    <t>Equity Value</t>
  </si>
  <si>
    <t>Monto</t>
  </si>
  <si>
    <t>Ponderacion</t>
  </si>
  <si>
    <t>Valores Ponderados</t>
  </si>
  <si>
    <t>Total</t>
  </si>
  <si>
    <t>Promedio</t>
  </si>
  <si>
    <t>Cifras en miles de pesos</t>
  </si>
  <si>
    <t>Activo Fijo (neto)</t>
  </si>
  <si>
    <t>% Dep</t>
  </si>
  <si>
    <t>Activo Fijo</t>
  </si>
  <si>
    <t>Incrementos</t>
  </si>
  <si>
    <t xml:space="preserve">Pagos a Capital </t>
  </si>
  <si>
    <t>Intereses</t>
  </si>
  <si>
    <t>Tasa de Interes</t>
  </si>
  <si>
    <t>Saldo</t>
  </si>
  <si>
    <t>Veces deuda sobre EBITDA</t>
  </si>
  <si>
    <t>Margen Neto</t>
  </si>
  <si>
    <t>ROA</t>
  </si>
  <si>
    <t>ROE</t>
  </si>
  <si>
    <t>Rotacion Activos</t>
  </si>
  <si>
    <t>Rotacion CxC</t>
  </si>
  <si>
    <t>Rotacion Inventarios</t>
  </si>
  <si>
    <t>Dias Inventarios</t>
  </si>
  <si>
    <t>Dias Ciclo Capital de Trabajo</t>
  </si>
  <si>
    <t>Dias 
CxC</t>
  </si>
  <si>
    <t>Dias
 CxP</t>
  </si>
  <si>
    <t>% Recursos Deuda</t>
  </si>
  <si>
    <t>Saldo en Clientes</t>
  </si>
  <si>
    <t>Saldo en Inventarios</t>
  </si>
  <si>
    <t>Suma</t>
  </si>
  <si>
    <t>Saldo Deuda Bancaria</t>
  </si>
  <si>
    <t>% deuda sobre ventas</t>
  </si>
  <si>
    <t>% Incremento</t>
  </si>
  <si>
    <t>X</t>
  </si>
  <si>
    <t>x</t>
  </si>
  <si>
    <t>Gastos de Admnistración</t>
  </si>
  <si>
    <t>Estado de Resultados &gt;&gt;</t>
  </si>
  <si>
    <t>Balance General &gt;&gt;</t>
  </si>
  <si>
    <t>Gastos de Ventas</t>
  </si>
  <si>
    <t>Acreedores Diversos</t>
  </si>
  <si>
    <t>Otros pasivos</t>
  </si>
  <si>
    <t>Flujo de Efectivo &gt;&gt;</t>
  </si>
  <si>
    <t>Capital de Trabajo &gt;&gt;</t>
  </si>
  <si>
    <t>Tide Water Oil Co. (India) Ltd. manufactures and sells lubricants and greases for automotive and industrial applications in India. The company offers various automotive oils comprising diesel engine oils, two wheeler oils, passenger car motor oils, gear and transmission oils, greases, and other oil products; and industrial oils, including general purpose machinery, spindle, turbine, hydraulic and circulation, heavy and extra duty hydraulic, steam cylinder, non drip, mill roll, and gear oils, as well as open gear compounds. It also provides industrial greases comprising lithium soap, lithium complex, calcium soap, and non-soap greases; industrial specialty products, such as metal working fluids, heat transfer fluids, quenching oils, and mistlube products; and various genuine oil products. In addition, the company is involved in the generation of wind power. It markets its products under the VEEDOL and ENEOS brand names. The company sells its products through distributors and dealers. Tide Water Oil Co. (India) Ltd. was incorporated in 1921 and is based in Kolkata, India.</t>
  </si>
  <si>
    <t xml:space="preserve">Por Tamaño </t>
  </si>
  <si>
    <t>Por Tamaño</t>
  </si>
  <si>
    <t>Rentabilidad</t>
  </si>
  <si>
    <t>Magen EBITDA</t>
  </si>
  <si>
    <t>Operaciones</t>
  </si>
  <si>
    <t>Liquidez</t>
  </si>
  <si>
    <t>Endeudamiento</t>
  </si>
  <si>
    <t>Comparaciones con la Industria</t>
  </si>
  <si>
    <t>Tipo de Cambio</t>
  </si>
  <si>
    <t>Mex</t>
  </si>
  <si>
    <t>USA</t>
  </si>
  <si>
    <t>Cifras 2013</t>
  </si>
  <si>
    <r>
      <t xml:space="preserve">Ventas </t>
    </r>
    <r>
      <rPr>
        <b/>
        <sz val="9"/>
        <color theme="1"/>
        <rFont val="Arial"/>
        <family val="2"/>
      </rPr>
      <t>(USD$ millones)</t>
    </r>
  </si>
  <si>
    <t>Deuda / EBITDA</t>
  </si>
  <si>
    <t>% Recursos Capital</t>
  </si>
  <si>
    <t xml:space="preserve">Panel de Control </t>
  </si>
  <si>
    <t>EBITDA 2013</t>
  </si>
  <si>
    <t>EBITDA 2015 E</t>
  </si>
  <si>
    <t>Step</t>
  </si>
  <si>
    <t>Ventas 2013</t>
  </si>
  <si>
    <t>Ventas 2015 E</t>
  </si>
  <si>
    <t>Cifras millones de pesos</t>
  </si>
  <si>
    <t>Ventas 2014 E</t>
  </si>
  <si>
    <t>Valuacion por Empresas Comparables</t>
  </si>
  <si>
    <t>EBITDA 2014 E</t>
  </si>
  <si>
    <t>Valor de la Empresa</t>
  </si>
  <si>
    <t>Valuacion por Transacciones Comparables</t>
  </si>
  <si>
    <t xml:space="preserve">Margen Bruto </t>
  </si>
  <si>
    <t>2014
anualizado</t>
  </si>
  <si>
    <t>BALANCE GENERAL AL 31 DE AGOSTO 2014</t>
  </si>
  <si>
    <t>ACTIVO</t>
  </si>
  <si>
    <t>IMPUESTOS POR PAGAR</t>
  </si>
  <si>
    <t>DEUDORES DIVERSOS</t>
  </si>
  <si>
    <t>PROVEEDORES</t>
  </si>
  <si>
    <t>ACREEDORES DIVERSOS</t>
  </si>
  <si>
    <t>IMPUESTOS ANTICIPADOS</t>
  </si>
  <si>
    <t>TERRENOS</t>
  </si>
  <si>
    <t>RESERVA LEGAL</t>
  </si>
  <si>
    <t>EQUIPO DE COMPUTACION</t>
  </si>
  <si>
    <t>DEPOSITOS EN GARANTIA</t>
  </si>
  <si>
    <t xml:space="preserve">HISTORICOS </t>
  </si>
  <si>
    <t xml:space="preserve">PROYECTADOS </t>
  </si>
  <si>
    <t>-</t>
  </si>
  <si>
    <t>Cifras al cierre de 2013</t>
  </si>
  <si>
    <t xml:space="preserve">Documentos por pagar a largo plazo </t>
  </si>
  <si>
    <t>DCF method (MXN)</t>
  </si>
  <si>
    <t>Control panel</t>
  </si>
  <si>
    <t>Fecha de adquisición</t>
  </si>
  <si>
    <t>Tasa de crecimiento (perpetuidad)</t>
  </si>
  <si>
    <t>Deuda total (financiera)</t>
  </si>
  <si>
    <t>EBITDA 15E</t>
  </si>
  <si>
    <t>EBITDA 16E</t>
  </si>
  <si>
    <t>Flujos descontados</t>
  </si>
  <si>
    <t>Fecha final del año</t>
  </si>
  <si>
    <t>Factor de descuento</t>
  </si>
  <si>
    <t>Tasa de desc.</t>
  </si>
  <si>
    <t>VP de Flujos</t>
  </si>
  <si>
    <t>Valuacion</t>
  </si>
  <si>
    <t>Valor total de la empresa (firm value)</t>
  </si>
  <si>
    <t>Deuda</t>
  </si>
  <si>
    <t>Valor del capital total (equity value)</t>
  </si>
  <si>
    <t>+</t>
  </si>
  <si>
    <t>=</t>
  </si>
  <si>
    <t>neta</t>
  </si>
  <si>
    <t>Multiplos implicitos</t>
  </si>
  <si>
    <t>FV/EBITDA 15E</t>
  </si>
  <si>
    <t>FV/EBITDA 16E</t>
  </si>
  <si>
    <t xml:space="preserve">Flujo de efectivo libre de la empresa </t>
  </si>
  <si>
    <t>Cédula de Activos Fijos (MXN)</t>
  </si>
  <si>
    <t>ESTADOS FINANCIEROS HISTORICOS Y PROYECTADOS (MXN)</t>
  </si>
  <si>
    <t xml:space="preserve">United States and Canada </t>
  </si>
  <si>
    <t xml:space="preserve">Asia / Pacific </t>
  </si>
  <si>
    <t>Firm value</t>
  </si>
  <si>
    <t>Multiplo implicito</t>
  </si>
  <si>
    <t>Descripción</t>
  </si>
  <si>
    <t>Rango:</t>
  </si>
  <si>
    <t>Compañias comparables</t>
  </si>
  <si>
    <t>Transacciones comparables</t>
  </si>
  <si>
    <t>Mediana</t>
  </si>
  <si>
    <t>Resumen de Valores</t>
  </si>
  <si>
    <t>FV/EBITDA 14E</t>
  </si>
  <si>
    <t>Cifras 2014 E</t>
  </si>
  <si>
    <t>Cifras 2015 E</t>
  </si>
  <si>
    <t>EBITDA 14E</t>
  </si>
  <si>
    <t>Producto</t>
  </si>
  <si>
    <t>%</t>
  </si>
  <si>
    <t>Cantidad</t>
  </si>
  <si>
    <t>$</t>
  </si>
  <si>
    <t xml:space="preserve">Total </t>
  </si>
  <si>
    <t>Precio Unitario</t>
  </si>
  <si>
    <t>Costo Unitario</t>
  </si>
  <si>
    <t>Valor (ventas)</t>
  </si>
  <si>
    <t>Valor (costo de ventas)</t>
  </si>
  <si>
    <t>2014
SEP</t>
  </si>
  <si>
    <t>WEIGHTED AVERAGE COST OF CAPITAL (WACC)</t>
  </si>
  <si>
    <t>Recursos de Deuda</t>
  </si>
  <si>
    <t>Costo</t>
  </si>
  <si>
    <t xml:space="preserve">Costo Ponderado </t>
  </si>
  <si>
    <t>Crédito B</t>
  </si>
  <si>
    <t>Crédito C</t>
  </si>
  <si>
    <t>Crédito D</t>
  </si>
  <si>
    <t xml:space="preserve">Monto </t>
  </si>
  <si>
    <t>Tasa</t>
  </si>
  <si>
    <t>Proporcion</t>
  </si>
  <si>
    <t>WACC</t>
  </si>
  <si>
    <t>Tasa de Impuestos</t>
  </si>
  <si>
    <t>Risk Free (Rf)</t>
  </si>
  <si>
    <t>Prom Pond</t>
  </si>
  <si>
    <t>Risk Market (Rm)</t>
  </si>
  <si>
    <t>Beta (ß)</t>
  </si>
  <si>
    <t>Risk Free (Rf) Cetes</t>
  </si>
  <si>
    <t>2009 - 2010</t>
  </si>
  <si>
    <t>2010 - 2011</t>
  </si>
  <si>
    <t>2011 - 2012</t>
  </si>
  <si>
    <t>2012 - 2013</t>
  </si>
  <si>
    <t>Promedio Rf</t>
  </si>
  <si>
    <t>Risk Market (Rf) BMV</t>
  </si>
  <si>
    <t>Empresas Comparables</t>
  </si>
  <si>
    <t>Beta Desapalancada</t>
  </si>
  <si>
    <t>Apalancamiento D / E</t>
  </si>
  <si>
    <t>Risk Premium</t>
  </si>
  <si>
    <t>Costo de la Deuda (Kd)</t>
  </si>
  <si>
    <t>Costo del Capital (Ke)</t>
  </si>
  <si>
    <t>Tasa de Descuento (WACC)</t>
  </si>
  <si>
    <t>Ajustada</t>
  </si>
  <si>
    <t>VENTAS NETAS</t>
  </si>
  <si>
    <t>CIRCULANTE:</t>
  </si>
  <si>
    <t>COSTO DE VENTAS</t>
  </si>
  <si>
    <t>CAJA Y BANCOS</t>
  </si>
  <si>
    <t>CUENTAS POR COBRAR</t>
  </si>
  <si>
    <t>FUNCIONARIOS Y EMPLEADOS</t>
  </si>
  <si>
    <t>GASTOS DE OPERACIÓN:</t>
  </si>
  <si>
    <t>ALMACEN DE PRODUCTOS</t>
  </si>
  <si>
    <t>IVA PENDIENTE DE  ACREDITAR</t>
  </si>
  <si>
    <t>Gastos de Administración</t>
  </si>
  <si>
    <t>I.V-A ACREDITABLE</t>
  </si>
  <si>
    <t>INVERSION EN VALORES</t>
  </si>
  <si>
    <t>TOTAL DE ACTIVO CIRCULANTE</t>
  </si>
  <si>
    <t>OTROS ACTIVOS:</t>
  </si>
  <si>
    <t>Utilidad (Pérdida) de Operación</t>
  </si>
  <si>
    <t>EDIFICIO PLANTA</t>
  </si>
  <si>
    <t>DEP. AC. EDIFICIO PLANTA</t>
  </si>
  <si>
    <t>OTROS INGRESOS Y GASTOS ( ordinarios)</t>
  </si>
  <si>
    <t>EQUIPO MUEBLES Y ENSERES</t>
  </si>
  <si>
    <t>DEP. AC. EQUIPO MUEBLES Y ENSERES</t>
  </si>
  <si>
    <t>COSTO INTEGRAL DE FINANCIAMIENTO:</t>
  </si>
  <si>
    <t xml:space="preserve">    Interese generados, neto</t>
  </si>
  <si>
    <t>DEP. AC. EQUIPO DE COMPUTACION</t>
  </si>
  <si>
    <t xml:space="preserve">    Resultado cambiario, neto</t>
  </si>
  <si>
    <t>EQUIPO DE REPARTO Y AUTOMOVILES</t>
  </si>
  <si>
    <t>DEP. AC. EQUIPO DE REPARTO Y AUTOMOVILES</t>
  </si>
  <si>
    <t>PERDIDA ANTES DE IMPUESTOS</t>
  </si>
  <si>
    <t>GTOS. DE INST. Y ADAPT. PLANTA</t>
  </si>
  <si>
    <t>AMORT. AC. GTOS. DE INST. Y ADAPT. PLANTA</t>
  </si>
  <si>
    <t>FORMULA ECOLUB IEQ</t>
  </si>
  <si>
    <t>AMORT. AC. FORMULA ECOLUB IEQ</t>
  </si>
  <si>
    <t>SEGUROS ANTICIPADOS</t>
  </si>
  <si>
    <t>SUMAS</t>
  </si>
  <si>
    <t>SUMA TOTAL DEL ACTIVO</t>
  </si>
  <si>
    <t>PASIVO :</t>
  </si>
  <si>
    <t>IVA PENDIENTE DE TRASLADAR</t>
  </si>
  <si>
    <t>RESERVA GRATIFICACION</t>
  </si>
  <si>
    <t>PART. DE UTILIDADES A TRABAJADORES</t>
  </si>
  <si>
    <t>IMPTOS DIFERIDOS</t>
  </si>
  <si>
    <t>SUMA DEL PASIVO</t>
  </si>
  <si>
    <t>CAPITAL:</t>
  </si>
  <si>
    <t>CAPITAL SOCIAL AUTORIZADO</t>
  </si>
  <si>
    <t>UTILIDADES ACUMULADAS</t>
  </si>
  <si>
    <t>EXCESO E INSUFICIENCIA EN ACT</t>
  </si>
  <si>
    <t>EFECTO ACUM. DEL ISR DIFERIDO</t>
  </si>
  <si>
    <t>RESULTADOS DEL EJERCICIO</t>
  </si>
  <si>
    <t>SUMA DEL CAPITAL</t>
  </si>
  <si>
    <t>SUMA DEL PASIVO Y CAPITAL</t>
  </si>
  <si>
    <t xml:space="preserve">Industrial de Especialidades Químicas, S.A. de C.V. </t>
  </si>
  <si>
    <t>IEQ</t>
  </si>
  <si>
    <t>Inversiones y valores</t>
  </si>
  <si>
    <t xml:space="preserve">Gastos de instalacion </t>
  </si>
  <si>
    <t>Formula Ecoclub IEQ</t>
  </si>
  <si>
    <t>Proveedores</t>
  </si>
  <si>
    <t>Otras cuentas de capital</t>
  </si>
  <si>
    <t>Cédula de Deuda Bancaria  (MXN)</t>
  </si>
  <si>
    <t>Petron Malaysia Refining &amp; Marketing Bhd (KLSE:PETRONM)</t>
  </si>
  <si>
    <t>Calumet Specialty Products Partners LP (NasdaqGS:CLMT)</t>
  </si>
  <si>
    <t>Tide Water Oil Co. (India), Ltd. (BSE:590005)</t>
  </si>
  <si>
    <t>Parkland Fuel Corporation (TSX:PKI)</t>
  </si>
  <si>
    <t>Motor Oil Hellas Corinth Refineries SA (ATSE:MOH)</t>
  </si>
  <si>
    <t>Idemitsu Kosan Co. Ltd. (TSE:5019)</t>
  </si>
  <si>
    <t>Slovnaft AS (BSSE:1SLN01AE)</t>
  </si>
  <si>
    <t>HollyFrontier Corporation (NYSE:HFC)</t>
  </si>
  <si>
    <t>Neste Oil Corp. (HLSE:NES1V)</t>
  </si>
  <si>
    <t>Sah Petroleums Limited (BSE:532543)</t>
  </si>
  <si>
    <t>Michang Oil industrial Co., Ltd. (KOSE:A003650)</t>
  </si>
  <si>
    <t>Lanka IOC PLC (COSE:LIOC-N-0000)</t>
  </si>
  <si>
    <t>Shell Pakistan Limited (KASE:SHEL)</t>
  </si>
  <si>
    <t xml:space="preserve">Europe </t>
  </si>
  <si>
    <t>Calumet Specialty Products Partners, L.P. produces and sells specialty hydrocarbon products in North America. It operates in two segments, Specialty Products and Fuel Products. The company is engaged in the production and marketing of crude oil-based specialty products, including lubricating oils, white mineral oils, solvents, petrolatums, and waxes; and fuel and fuel-related products, such as gasoline, diesel, jet fuel, asphalt, and heavy fuel oils, as well as resells purchased crude oil to third party customers. Its specialty products are used in various industrial goods, such as metalworking fluids, belts, hoses, sealing systems, batteries, hot melt adhesives, pressure sensitive tapes, electrical transformers, refrigeration compressors, and drilling fluids; consumer goods, including candles, petroleum jellies, creams, tonics, lotions, paper cups, chewing gum base, automotive aftermarket car-care products, lamp oils, charcoal lighter fluids, camping fuel, and various aerosol products; and automotive goods, such as motor oils, greases, transmission fluids, and tires. Calumet GP, LLC serves as the general partner for Calumet Specialty Products Partners, L.P. The company was founded in 1916 and is headquartered in Indianapolis, Indiana.</t>
  </si>
  <si>
    <t>Parkland Fuel Corporation markets and distributes refined petroleum products to retail, commercial, wholesale, and home heating fuel customers in North America. It operates in three segments: Fuel Marketing, Non-Fuel Commercial, and Other Non-Fuel. The Fuel Marketing segment is involved in the sale and delivery of gasoline, diesel and propane through commercial, retail, and wholesale distribution channels. This segment delivers bulk fuel, propane, heating oil, lubricants, agricultural inputs, oilfield fluids, and other related products and services through a nationwide delivery network. This segment also operates and services a nationwide network of retail service stations that serve Canadian motorists. As of December 31, 2013, Fuel Marketing segment had 119 commercial locations; and 697 retail service stations. The segment operates under the Bluewave Energy, Columbia Fuels, Neufeld Petroleum &amp; Propane, Island Petroleum, Fas Gas Plus, Race Trac Gas, Sparling's, Esso, and Chevron brands. The Non-Fuel Commercial segment provides agricultural inputs, lubricants, and other products that do not fall into the fuel category. The Other Non-Fuel segment is involved in the convenience store, lottery, freight, and rental operations. It serves customers operating across various industries, including oil and gas industry participants, mining operations, forestry operations, agricultural operations, construction; and other industrial operations, as well as residential heating fuel clients. Parkland Fuel Corporation was founded in 1977 and is headquartered in Red Deer, Canada.</t>
  </si>
  <si>
    <t>Motor Oil (Hellas) Corinth Refineries S.A. is engaged in oil refining and oil products trading businesses. The company produces and sells a range of refined petroleum products, including asphalt, fuel oil, automotive and heating diesel, jet fuel, gasoline, LPG, lubricants, naphtha, and other products. It is also involved in the marketing and distribution of a range of oil products, including gasoline, fuel oil, diesel, and lubricants through a network of approximately 700 retail units under the SHELL trade mark. In addition, the company is engaged in the distribution of chemicals; marketing and distribution of natural gas; manufacture of LPG cylinders for the packaging and transportation of its goods; generation and sale of power; and trading, transportation, storage, and agency of petroleum products. Further, it operates an aircraft fuel supply system and storage facilities at the Athens International Airport ‘Eleftherios Venizelos’ at Spata of Attica. The company was founded in 1970 and is headquartered in Maroussi, Greece.</t>
  </si>
  <si>
    <t>Idemitsu Kosan Co., Ltd. manufactures and sells petroleum and petrochemical products. The company offers lubricants, such as marine and maintenance oils, metal working and industrial oils, grease products, liquid paraffin, transformer oils, rubber oils, solvents and general-purpose lubricants, traction drive fluids, polyvinylether, and polyalkylene glycol oils. It also provides petrochemicals, including basic and performance chemicals, engineering plastics, solvents, and various functional materials; agricultural biotechnology products, such as microbial pesticides and soil amendments, agents for environment and greening, functional animal feeds, and materials for farm production; and electronic materials comprising organic light-emitting diode materials, transparent electrode materials, special polycarbonate resins, and coating materials. In addition, the company is involved in the investigation, exploration, development, and sale of oil, coal, uranium, and geothermal resources; generation of renewable energy from wind, solar, bio fuels, and hydrogen; transportation and storage of petroleum products; sale of service station products; import, purchase, and sale of liquefied petroleum gas; design, construction, maintenance, and management of petroleum-related facilities; and import and sale of agricultural chemicals. Further, it is engaged in the design, installation, fabrication, and sale of various machinery, equipment, and devices for chemical-industrial and environmental-protection uses; and real-estate selling, leasing, and managing activities. Additionally, it offers optics and packaging materials; plastic products; protein materials; credit card services; and computer-software development, sales, and consulting services. Idemitsu Kosan Co., Ltd. operates in Japan, Asia, Oceania, North America, Europe, and internationally. The company was founded in 1911 and is headquartered in Tokyo, Japan.</t>
  </si>
  <si>
    <t>Slovnaft a.s., together with its subsidiaries, is engaged in the processing of crude oil; and the distribution and sale of refined products. The company operates through Refining and Marketing and Retail segments. It offers motor fuels, such as gasoline, diesel oils, and aviation fuel; light and heavy fuel oil; bitumen; chemicals comprising toluene, xylene, ortho-xylene, sulphur, and benzene; and lubricants and auto chemicals. The company also produces polymers for various uses, such as packaging films and technical applications. In addition, it operates 212 filling stations that offer motor fuels and a range of other goods, as well as additional services comprising restaurant, bar, and car wash services. Further, the company is involved in the provision of repair and maintenance; transport and storage; and transport support services. It operates primarily in the Slovak Republic, the Czech Republic, Austria, Poland, Hungary, Germany, Italy, Netherlands, and Romania. The company is based in Bratislava, Slovak Republic. As of January 23, 2004, Slovnaft a.s., operates as a subsidiary of MOL Magyar Olaj- es Gazipari Nyilvanosan Mukodo Reszvenytarsasag.</t>
  </si>
  <si>
    <t>HollyFrontier Corporation operates as an independent petroleum refiner in the United States. It produces high-value refined products, such as gasoline, diesel fuel, jet fuel, specialty lubricant products, liquid petroleum gas, fuel oil, and specialty and modified asphalt. The company offers its products to other refiners, convenience store chains, independent marketers, retailers, truck stop chains, wholesalers, railroads, governmental entities, paving contractors or manufacturers, and commercial and specialty markets, as well as for commercial airline use. It owns and operates five refineries with a combined crude oil processing capacity of approximately 443,000 barrels per day in El Dorado, Kansas; Tulsa, Oklahoma; Artesia, New Mexico; Cheyenne, Wyoming; and Woods Cross, Utah, as well as owns and operates asphalt terminals in Arizona and New Mexico. HollyFrontier Corporation’s refineries serve markets in the Mid-Continent, Southwest, and Rocky Mountain regions of the United States. The company was formerly known as Holly Corporation and changed its name to HollyFrontier Corporation as a result of its merger with Frontier Oil Corporation in July 2011. HollyFrontier Corporation was founded in 1947 and is headquartered in Dallas, Texas.</t>
  </si>
  <si>
    <t>Neste Oil Corporation, a refining and marketing company, produces and sells various petroleum products in Finland and internationally. The company operates through four segments: Oil Products, Renewable Fuels, Oil Retail, and Others. The Oil Products segment markets and sells gasoline, diesel fuel, light and heavy fuel oil, aviation fuel, base oils, liquefied petroleum gas, bunker fuel, heating oil, base oil, gasoline components, specialty fuels, solvents, bitumen, and other oil products and services to wholesale markets. The Renewable Fuels segment markets and sells NExBTL renewable diesel, NExBTL renewable aviation fuel, and NExBTL renewable naphtha based on its proprietary technology to corporate customers as a biocomponent. The Oil Retail segment offers petroleum products, including gasoline, diesel, heating oil, heavy fuel oil, aviation fuel, lubricants, chemicals, and LPG, as well as associated services directly to end-users, such as private motorists, industry, transport companies, farmers, and heating oil customers. This segment operates a network of 1,027 stations in Finland, Northwest Russia, Estonia, Latvia, and Lithuania. The Others segment provides technology, design, and project management services and solutions to customers in the oil and gas, petrochemicals, chemicals, and biotechnology sectors. Neste Oil Corporation was founded in 1948 and is headquartered in Espoo, Finland.</t>
  </si>
  <si>
    <t>Sah Petroleums Limited designs, manufactures, and markets industrial and automotive lubricants, and specialties and process oils in India and internationally. The company offers automotive lubricants, including automotive engine oils for engine, gears, and transmissions, as well as other parts of heavy/medium/light commercial vehicles, agricultural tractors, pump sets, outboard motors, marine engines, commercial and passenger cars, and two and three wheelers; automotive gear and transmission oils; and greases and specialties. It also provides industrial lubricants comprising industrial oils and greases, neat oils for metal working products, and industrial specialty oils primarily for the automobile, engineering, steel, cement, sugar, and machining industries. In addition, the company offers rubber process oils and secondary plasticizers; transformer oils; and white oils primarily for use as a mould releasing agent, insulant, defrothing agent, as well as to manufacture antistatic oils, petroleum jellies, and aggarbatties. Its products are used in various industries, including general engineering, rubber, tire, automotive, ball bearing, textile, plastic, paint, cement, sugar mill, cosmetic, adhesive, transformers, etc. The company markets its products under the IPOL brand name primarily through distributors and agents. Sah Petroleums Limited was incorporated in 1983 and is headquartered in Mumbai, India. As of July 31, 2014, Sah Petroleums Limited operates as a subsidiary of Gulf Petrochem PTE. Ltd.</t>
  </si>
  <si>
    <t>Michang Oil industrial Co., Ltd. develops and produces various lubricants in South Korea. The company offers automotive lubricants, such as gasoline engine oils, diesel engine oils, and gear oils; and marine lubricants, including cylinder oils for crosshead type and trunk-piston type diesel engines; medium and high-speed trunk-piston type diesel engine oils; and engine oils for fishing boats. It also provides industrial lubricants comprising hydraulic, machine, gear, turbine, refrigerating machine, and electric discharge machine oils; transformer oils; and the paraffine, naphthene, and aromatic process oils. In addition, the company offers liquid paraffine, which is used in medicines and cosmetics, food additives, textiles, and chemical industries; hydro-carbon solvents that are used for processing oil of metal, insecticide, PVC dilunet, developer, printing ink solvent, etc.; and cleaners for cleaning various parts, including super-precision semiconductor, vehicle, and airplane. Michang Oil industrial Co., Ltd. was founded in 1962 and is headquartered in Busan, South Korea.</t>
  </si>
  <si>
    <t>Lanka IOC PLC imports, sells, and distributes petroleum products in Sri Lanka. It offers auto fuels, including petrol under the Lanka Petrol and XtraPremium names and diesel under the Lanka Auto, XtraMile, and Lanka Super names; industrial fuels comprising light diesel oil; and marine fuel and gas oil, as well as bitumen. The company also provides auto lubricants comprising two/three wheeler, diesel engine, tractor, passenger car, gear, and automatic transmission oils, as well as automotive greases, brake fluids, and radiator coolants; industrial lubricants, such as anti wear hydraulic oils, turbine oils, refrigeration compressor oils, transformer oils, rubber process oils, rust preventive oils, heat transfer fluids, sugar mill lubricants, open gear lubricants, tail road oils, spindle oils, industrial gear oils, soluble cutting oils, mineral circulation system oils, and industrial greases; and marine lubricants for engines, gears, hydraulic systems, and turbines. It exports its lubricants to Nepal and Maldives. In addition, the company provides laboratory services, such as inspection and testing for base oil, gas oil, gasoline, additives, and lubricants. Further, it offers bunkering fuels for ports of Sri Lanka; and operates 161 retail outlets. The company was incorporated in 2002 and is based in Colombo, Sri Lanka. Lanka IOC PLC is a subsidiary of Indian Oil Corporation Limited.</t>
  </si>
  <si>
    <t>Shell Pakistan Limited markets petroleum products and compressed natural gas in Pakistan. It offers on the road product and services, including fuels; oils and lubricants for cars, motorcycles, and trucks and heavy-duty vehicles; and fuel card services. The company also provides solutions for businesses, which include lubricants, such as axle and transmission oils, bearing and circulating oils, compressor oils, electrical oils, gear oils, greases, hydraulic fluids, slideway oils, power engine oils, and turbine oils; commercial fuels comprising transport, heating, and industrial fuels to corporate and distributing companies; and vehicle charts. In addition, it offers shell motorsport services. Further, it supplies jet fuels for domestic and foreign airline carriers; and jet fuel and aviation gasoline for the military segment, as well as operates approximately 780 retail outlets. It serves agriculture, automotive components, construction, fleet, manufacturing, metals, mining, marine, and power industries, as well as auto and truck dealers and manufacturers. Shell Pakistan Limited is based in Karachi, Pakistan. Shell Pakistan Limited is a subsidiary of Shell Petroleum Company Limited.</t>
  </si>
  <si>
    <t>Multiplos de Empresas Comparables Sector: Oil &amp; Gas Refining &amp; Marketing ("industrial oils or "lubricants")</t>
  </si>
  <si>
    <t>PTT Aromatics and Refining Public Company Limited</t>
  </si>
  <si>
    <t>Hyundai Oilbank Co., Ltd.</t>
  </si>
  <si>
    <t>Saras S.p.A. (BIT:SRS)</t>
  </si>
  <si>
    <t>Gary-Williams Energy Corporation</t>
  </si>
  <si>
    <t>Team AG</t>
  </si>
  <si>
    <t>Essar Oil Ltd. (BSE:500134)</t>
  </si>
  <si>
    <t>Sunoco, Inc.</t>
  </si>
  <si>
    <t>Proenergia Internacional S.A.</t>
  </si>
  <si>
    <t>Changhae Ethanol Co., Ltd. (KOSDAQ:A004650)</t>
  </si>
  <si>
    <t>GS Caltex Corp.</t>
  </si>
  <si>
    <t>Alliance Oil Company Ltd.</t>
  </si>
  <si>
    <t>TonenGeneral Sekiyu k.k. (TSE:5012)</t>
  </si>
  <si>
    <t>OAO Ufaneftekhim</t>
  </si>
  <si>
    <t>CVR Energy, Inc. (NYSE:CVI)</t>
  </si>
  <si>
    <t>GTL Resources Limited</t>
  </si>
  <si>
    <t>Blue Flint Ethanol LLC</t>
  </si>
  <si>
    <t>Vertex Holdings, L.P.</t>
  </si>
  <si>
    <t>Phillips 66 (NYSE:PSX)</t>
  </si>
  <si>
    <t>Spin-Off/Split-Off</t>
  </si>
  <si>
    <t>NuGen Energy, LLC</t>
  </si>
  <si>
    <t>High Sierra Energy GP, LLC</t>
  </si>
  <si>
    <t xml:space="preserve">Latin America and Caribbean </t>
  </si>
  <si>
    <t>Michang</t>
  </si>
  <si>
    <t>Parkland</t>
  </si>
  <si>
    <t>Neste</t>
  </si>
  <si>
    <t>Asia</t>
  </si>
  <si>
    <t>Europa</t>
  </si>
  <si>
    <t>Comparables</t>
  </si>
  <si>
    <t>Crédito</t>
  </si>
  <si>
    <t>Actualizacion de Activos Fijos</t>
  </si>
  <si>
    <t>Actualización Gastos Diferidos</t>
  </si>
  <si>
    <t>(Depreciación Actualización de Activos Fijos)</t>
  </si>
  <si>
    <t>(Depreciación Actualización Gastos Diferidos)</t>
  </si>
  <si>
    <t>actualizacion 2013</t>
  </si>
  <si>
    <t xml:space="preserve">moi </t>
  </si>
  <si>
    <t>suma deprec</t>
  </si>
  <si>
    <t>ESTADO DE RESULTADOS DEL 1 DE ENERO AL 30 DE SEPTIEMBRE DEL 2014</t>
  </si>
  <si>
    <t xml:space="preserve">ACTUALIZACION DE INVENTARIOS </t>
  </si>
  <si>
    <t xml:space="preserve">2014 Sep Real </t>
  </si>
  <si>
    <t>Amortizaciones</t>
  </si>
  <si>
    <t>Amortizacion</t>
  </si>
  <si>
    <t>(Amortización Formula Ecoclub IEQ)</t>
  </si>
  <si>
    <t>(Amortizacion de gastos)</t>
  </si>
  <si>
    <t>Lubricantes</t>
  </si>
  <si>
    <t>Lts</t>
  </si>
  <si>
    <t>Promedio 5 años</t>
  </si>
  <si>
    <t xml:space="preserve">Proceso </t>
  </si>
  <si>
    <t>Envases</t>
  </si>
  <si>
    <t>Pzs</t>
  </si>
  <si>
    <t>Otros</t>
  </si>
  <si>
    <t>Recursos de Capital</t>
  </si>
  <si>
    <t>Monto
(MXN miles)</t>
  </si>
  <si>
    <t>PRECIOS Y VOLUMEN (PxQ)</t>
  </si>
  <si>
    <t>Michang Oil industrial Co., Ltd.</t>
  </si>
  <si>
    <t>Neste Oil Corp.</t>
  </si>
  <si>
    <t>Parkland Fuel Corporation</t>
  </si>
  <si>
    <t>Caja e inversiones 14 (Sep)</t>
  </si>
  <si>
    <t>Resumen y Sensibilidades (MXN miles)</t>
  </si>
  <si>
    <t>Rango US$:</t>
  </si>
  <si>
    <t>Tipo de Cambio MXN vs USD</t>
  </si>
  <si>
    <t>EBITDA 11</t>
  </si>
  <si>
    <t>Cifras 2011</t>
  </si>
  <si>
    <t xml:space="preserve">Pondereacion </t>
  </si>
  <si>
    <t>Flujos Descontados</t>
  </si>
  <si>
    <t>Valor del Capital (Equity value)</t>
  </si>
  <si>
    <t>2014 E</t>
  </si>
  <si>
    <t>2015 E</t>
  </si>
  <si>
    <t>2016 E</t>
  </si>
  <si>
    <t>2017 E</t>
  </si>
  <si>
    <t>2018 E</t>
  </si>
  <si>
    <t>2019 E</t>
  </si>
  <si>
    <t>Proceso</t>
  </si>
  <si>
    <t xml:space="preserve">Producto </t>
  </si>
  <si>
    <t xml:space="preserve">Gastos de Operación </t>
  </si>
  <si>
    <t xml:space="preserve">Utilidad operación </t>
  </si>
  <si>
    <t>Planta Industrial Lote II</t>
  </si>
  <si>
    <t xml:space="preserve">Valuacion por Activos </t>
  </si>
  <si>
    <t>Precio / m2</t>
  </si>
  <si>
    <t>Valor $</t>
  </si>
  <si>
    <t>m2 Terreno</t>
  </si>
  <si>
    <t xml:space="preserve">m2 Construccion </t>
  </si>
  <si>
    <t>Bodega Industrial y Oficinas</t>
  </si>
  <si>
    <t>Bodega Industrial</t>
  </si>
  <si>
    <t>Totales</t>
  </si>
  <si>
    <t>Cap Rate @</t>
  </si>
  <si>
    <t>anual</t>
  </si>
  <si>
    <t xml:space="preserve">Renta de instalaciones </t>
  </si>
  <si>
    <t>Valor de los Activos</t>
  </si>
  <si>
    <t>Bienes Inmuebles</t>
  </si>
  <si>
    <t>Valor Ponderado IEQ</t>
  </si>
  <si>
    <t>Valor Total para Accionistas IEQ</t>
  </si>
  <si>
    <t>Incremento</t>
  </si>
  <si>
    <t>WACC = 15% y g = 1%</t>
  </si>
  <si>
    <t>Venta de Activos</t>
  </si>
  <si>
    <t>Tipo</t>
  </si>
  <si>
    <r>
      <t>m</t>
    </r>
    <r>
      <rPr>
        <vertAlign val="superscript"/>
        <sz val="10"/>
        <color theme="1"/>
        <rFont val="Arial"/>
        <family val="2"/>
      </rPr>
      <t>2</t>
    </r>
  </si>
  <si>
    <t>Renta</t>
  </si>
  <si>
    <t>Bodega Xalostoc</t>
  </si>
  <si>
    <t xml:space="preserve">Renta Mensual Individual </t>
  </si>
  <si>
    <t>Venta</t>
  </si>
  <si>
    <r>
      <t>Precio / m</t>
    </r>
    <r>
      <rPr>
        <vertAlign val="superscript"/>
        <sz val="10"/>
        <color theme="1"/>
        <rFont val="Arial"/>
        <family val="2"/>
      </rPr>
      <t>2</t>
    </r>
  </si>
  <si>
    <t>Valores de Referencia</t>
  </si>
  <si>
    <t xml:space="preserve">Nave Industrial   </t>
  </si>
  <si>
    <t>Nave Industrial</t>
  </si>
  <si>
    <t xml:space="preserve">Bodega </t>
  </si>
  <si>
    <t xml:space="preserve">Local Comercial </t>
  </si>
  <si>
    <t>Valor Terminal g = 3%</t>
  </si>
  <si>
    <t>Lubricantes de la Peninsula, SA de CV</t>
  </si>
  <si>
    <t>LP</t>
  </si>
  <si>
    <t>Perpetuidad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</si>
</sst>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 #,##0_-;\(\ #,##0\ \)_-;_-* &quot;-&quot;??_-;_-@_-"/>
    <numFmt numFmtId="165" formatCode="0.0%"/>
    <numFmt numFmtId="166" formatCode="_-* #,##0_-;\-* #,##0_-;_-* &quot;-&quot;??_-;_-@_-"/>
    <numFmt numFmtId="167" formatCode="#,##0.00\ \x"/>
    <numFmt numFmtId="168" formatCode="0.0000"/>
    <numFmt numFmtId="169" formatCode="_-* #,##0.0_-;\(\ #,##0.0\ \)_-;_-* &quot;-&quot;??_-;_-@_-"/>
    <numFmt numFmtId="170" formatCode="#,##0_);\(#,##0\);\–_);&quot;–&quot;_)"/>
    <numFmt numFmtId="171" formatCode="#,##0.00_);\(#,##0.00\);\–_);&quot;–&quot;_)"/>
    <numFmt numFmtId="172" formatCode="0.0%_);\(0.0%\);&quot;–&quot;_)"/>
    <numFmt numFmtId="173" formatCode="#,##0.0\x"/>
    <numFmt numFmtId="174" formatCode="#,##0.0_);\(#,##0.0\);\–_);&quot;–&quot;_)"/>
    <numFmt numFmtId="175" formatCode="_(#,##0_)_%;_(\(#,##0\)_%;_(&quot;–&quot;_)_%;@_(_%"/>
    <numFmt numFmtId="176" formatCode="0.000%"/>
    <numFmt numFmtId="177" formatCode="_(#,##0.00_)_%;_(\(#,##0.00\)_%;_(&quot;–&quot;_)_%;@_(_%"/>
    <numFmt numFmtId="178" formatCode="0.0"/>
    <numFmt numFmtId="179" formatCode="_(#,##0.0_)_%;_(\(#,##0.0\)_%;_(&quot;–&quot;_)_%;@_(_%"/>
    <numFmt numFmtId="181" formatCode="#,##0.0000\ \x"/>
    <numFmt numFmtId="184" formatCode="#,##0.0000\x"/>
  </numFmts>
  <fonts count="89"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8"/>
      <color theme="1"/>
      <name val="Arial"/>
      <family val="2"/>
    </font>
    <font>
      <sz val="10"/>
      <color indexed="8"/>
      <name val="Arial"/>
      <family val="2"/>
    </font>
    <font>
      <sz val="10"/>
      <color indexed="8"/>
      <name val="Arial Narrow"/>
      <family val="2"/>
    </font>
    <font>
      <b/>
      <sz val="10"/>
      <color indexed="8"/>
      <name val="Arial Narrow"/>
      <family val="2"/>
    </font>
    <font>
      <b/>
      <sz val="8"/>
      <color indexed="8"/>
      <name val="Arial Narrow"/>
      <family val="2"/>
    </font>
    <font>
      <sz val="8"/>
      <color indexed="8"/>
      <name val="Arial Narrow"/>
      <family val="2"/>
    </font>
    <font>
      <b/>
      <sz val="10"/>
      <color theme="1"/>
      <name val="Arial"/>
      <family val="2"/>
    </font>
    <font>
      <b/>
      <sz val="14"/>
      <color theme="1"/>
      <name val="Arial"/>
      <family val="2"/>
    </font>
    <font>
      <b/>
      <sz val="18"/>
      <color theme="3"/>
      <name val="Cambria"/>
      <family val="2"/>
      <scheme val="major"/>
    </font>
    <font>
      <b/>
      <sz val="8"/>
      <color theme="1"/>
      <name val="Arial"/>
      <family val="2"/>
    </font>
    <font>
      <sz val="11"/>
      <color theme="1"/>
      <name val="Calibri"/>
      <family val="2"/>
      <scheme val="minor"/>
    </font>
    <font>
      <sz val="11"/>
      <color indexed="8"/>
      <name val="Calibri"/>
      <family val="2"/>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0"/>
      <name val="Arial"/>
      <family val="2"/>
    </font>
    <font>
      <sz val="10"/>
      <color rgb="FFFF0000"/>
      <name val="Arial Narrow"/>
      <family val="2"/>
    </font>
    <font>
      <sz val="8"/>
      <name val="Arial"/>
      <family val="2"/>
    </font>
    <font>
      <b/>
      <sz val="8"/>
      <name val="Arial"/>
      <family val="2"/>
    </font>
    <font>
      <b/>
      <sz val="10"/>
      <color theme="0"/>
      <name val="Arial"/>
      <family val="2"/>
    </font>
    <font>
      <b/>
      <sz val="11"/>
      <color theme="1"/>
      <name val="Arial"/>
      <family val="2"/>
    </font>
    <font>
      <sz val="8"/>
      <color indexed="8"/>
      <name val="Arial"/>
      <family val="2"/>
    </font>
    <font>
      <sz val="8"/>
      <name val="Arial"/>
      <family val="2"/>
    </font>
    <font>
      <b/>
      <sz val="9"/>
      <color theme="1"/>
      <name val="Arial"/>
      <family val="2"/>
    </font>
    <font>
      <b/>
      <sz val="12"/>
      <color theme="1"/>
      <name val="Arial"/>
      <family val="2"/>
    </font>
    <font>
      <b/>
      <u val="singleAccounting"/>
      <sz val="8"/>
      <color indexed="8"/>
      <name val="Arial"/>
      <family val="2"/>
    </font>
    <font>
      <b/>
      <sz val="10"/>
      <name val="Arial"/>
      <family val="2"/>
    </font>
    <font>
      <sz val="8"/>
      <color theme="0"/>
      <name val="Arial"/>
      <family val="2"/>
    </font>
    <font>
      <sz val="8"/>
      <name val="Arial Narrow"/>
      <family val="2"/>
    </font>
    <font>
      <sz val="14"/>
      <color theme="1"/>
      <name val="Arial"/>
      <family val="2"/>
    </font>
    <font>
      <sz val="10"/>
      <name val="Arial Narrow"/>
      <family val="2"/>
    </font>
    <font>
      <b/>
      <sz val="11"/>
      <color theme="0"/>
      <name val="Arial"/>
      <family val="2"/>
    </font>
    <font>
      <sz val="11"/>
      <color theme="0"/>
      <name val="Arial"/>
      <family val="2"/>
    </font>
    <font>
      <b/>
      <sz val="8"/>
      <color theme="0"/>
      <name val="Arial"/>
      <family val="2"/>
    </font>
    <font>
      <b/>
      <u/>
      <sz val="11"/>
      <color theme="1"/>
      <name val="Arial"/>
      <family val="2"/>
    </font>
    <font>
      <i/>
      <sz val="10"/>
      <color theme="1"/>
      <name val="Arial"/>
      <family val="2"/>
    </font>
    <font>
      <b/>
      <sz val="14"/>
      <color theme="0"/>
      <name val="Arial"/>
      <family val="2"/>
    </font>
    <font>
      <sz val="14"/>
      <color theme="0"/>
      <name val="Arial"/>
      <family val="2"/>
    </font>
    <font>
      <b/>
      <sz val="9"/>
      <color theme="0"/>
      <name val="Arial"/>
      <family val="2"/>
    </font>
    <font>
      <b/>
      <sz val="10"/>
      <color theme="0"/>
      <name val="Arial Narrow"/>
      <family val="2"/>
    </font>
    <font>
      <b/>
      <sz val="8"/>
      <color theme="3" tint="0.39997558519241921"/>
      <name val="Arial Narrow"/>
      <family val="2"/>
    </font>
    <font>
      <b/>
      <sz val="10"/>
      <color rgb="FFFFFF00"/>
      <name val="Arial Narrow"/>
      <family val="2"/>
    </font>
    <font>
      <b/>
      <sz val="12"/>
      <color rgb="FFFFFF00"/>
      <name val="Arial Narrow"/>
      <family val="2"/>
    </font>
    <font>
      <b/>
      <sz val="10"/>
      <color rgb="FFFF0000"/>
      <name val="Arial"/>
      <family val="2"/>
    </font>
    <font>
      <sz val="10"/>
      <color rgb="FF0070C0"/>
      <name val="Arial"/>
      <family val="2"/>
    </font>
    <font>
      <sz val="10"/>
      <color rgb="FF00B050"/>
      <name val="Arial"/>
      <family val="2"/>
    </font>
    <font>
      <u/>
      <sz val="10"/>
      <color theme="1"/>
      <name val="Arial"/>
      <family val="2"/>
    </font>
    <font>
      <b/>
      <sz val="12"/>
      <color theme="0"/>
      <name val="Arial"/>
      <family val="2"/>
    </font>
    <font>
      <sz val="11"/>
      <color rgb="FF00B050"/>
      <name val="Arial"/>
      <family val="2"/>
    </font>
    <font>
      <i/>
      <sz val="11"/>
      <color theme="4" tint="-0.249977111117893"/>
      <name val="Arial"/>
      <family val="2"/>
    </font>
    <font>
      <i/>
      <sz val="8"/>
      <color theme="1"/>
      <name val="Arial"/>
      <family val="2"/>
    </font>
    <font>
      <b/>
      <i/>
      <sz val="8"/>
      <color theme="1"/>
      <name val="Arial"/>
      <family val="2"/>
    </font>
    <font>
      <b/>
      <sz val="8"/>
      <color theme="9" tint="-0.249977111117893"/>
      <name val="Arial"/>
      <family val="2"/>
    </font>
    <font>
      <b/>
      <sz val="10"/>
      <color rgb="FF92D050"/>
      <name val="Arial"/>
      <family val="2"/>
    </font>
    <font>
      <b/>
      <i/>
      <sz val="10"/>
      <color theme="0"/>
      <name val="Arial"/>
      <family val="2"/>
    </font>
    <font>
      <i/>
      <sz val="10"/>
      <name val="Arial"/>
      <family val="2"/>
    </font>
    <font>
      <b/>
      <u/>
      <sz val="10"/>
      <name val="Arial"/>
      <family val="2"/>
    </font>
    <font>
      <b/>
      <sz val="10"/>
      <color rgb="FF0070C0"/>
      <name val="Arial"/>
      <family val="2"/>
    </font>
    <font>
      <b/>
      <i/>
      <sz val="10"/>
      <color rgb="FF0070C0"/>
      <name val="Arial"/>
      <family val="2"/>
    </font>
    <font>
      <sz val="10"/>
      <color theme="0"/>
      <name val="Arial Narrow"/>
      <family val="2"/>
    </font>
    <font>
      <vertAlign val="superscript"/>
      <sz val="10"/>
      <color theme="1"/>
      <name val="Arial"/>
      <family val="2"/>
    </font>
    <font>
      <sz val="10"/>
      <color theme="0"/>
      <name val="Arial"/>
      <family val="2"/>
    </font>
    <font>
      <i/>
      <sz val="10"/>
      <color theme="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6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dashed">
        <color rgb="FFFF0000"/>
      </left>
      <right style="dashed">
        <color rgb="FFFF0000"/>
      </right>
      <top style="dashed">
        <color rgb="FFFF0000"/>
      </top>
      <bottom/>
      <diagonal/>
    </border>
    <border>
      <left style="dashed">
        <color rgb="FFFF0000"/>
      </left>
      <right style="dashed">
        <color rgb="FFFF0000"/>
      </right>
      <top/>
      <bottom/>
      <diagonal/>
    </border>
    <border>
      <left style="dashed">
        <color rgb="FFFF0000"/>
      </left>
      <right style="dashed">
        <color rgb="FFFF0000"/>
      </right>
      <top/>
      <bottom style="thin">
        <color indexed="64"/>
      </bottom>
      <diagonal/>
    </border>
    <border>
      <left style="dashed">
        <color rgb="FFFF0000"/>
      </left>
      <right style="dashed">
        <color rgb="FFFF0000"/>
      </right>
      <top/>
      <bottom style="dashed">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rgb="FFFF0000"/>
      </left>
      <right style="dashed">
        <color rgb="FFFF0000"/>
      </right>
      <top style="thin">
        <color indexed="64"/>
      </top>
      <bottom/>
      <diagonal/>
    </border>
    <border>
      <left/>
      <right/>
      <top/>
      <bottom style="thin">
        <color indexed="9"/>
      </bottom>
      <diagonal/>
    </border>
    <border>
      <left/>
      <right/>
      <top/>
      <bottom style="thin">
        <color theme="0" tint="-0.499984740745262"/>
      </bottom>
      <diagonal/>
    </border>
    <border>
      <left/>
      <right/>
      <top/>
      <bottom style="thin">
        <color theme="0" tint="-0.24994659260841701"/>
      </bottom>
      <diagonal/>
    </border>
    <border>
      <left style="dashed">
        <color auto="1"/>
      </left>
      <right style="dashed">
        <color auto="1"/>
      </right>
      <top style="dashed">
        <color auto="1"/>
      </top>
      <bottom style="dashed">
        <color auto="1"/>
      </bottom>
      <diagonal/>
    </border>
    <border>
      <left/>
      <right/>
      <top/>
      <bottom style="thin">
        <color theme="0" tint="-0.14996795556505021"/>
      </bottom>
      <diagonal/>
    </border>
    <border>
      <left style="dashed">
        <color rgb="FFFF0000"/>
      </left>
      <right/>
      <top style="dashed">
        <color rgb="FFFF0000"/>
      </top>
      <bottom style="dashed">
        <color rgb="FFFF0000"/>
      </bottom>
      <diagonal/>
    </border>
    <border>
      <left/>
      <right/>
      <top style="dashed">
        <color rgb="FFFF0000"/>
      </top>
      <bottom style="dashed">
        <color rgb="FFFF0000"/>
      </bottom>
      <diagonal/>
    </border>
    <border>
      <left/>
      <right style="dashed">
        <color rgb="FFFF0000"/>
      </right>
      <top style="dashed">
        <color rgb="FFFF0000"/>
      </top>
      <bottom style="dashed">
        <color rgb="FFFF0000"/>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right style="dotted">
        <color theme="4" tint="-0.24994659260841701"/>
      </right>
      <top/>
      <bottom/>
      <diagonal/>
    </border>
    <border>
      <left style="dashed">
        <color theme="0" tint="-0.24994659260841701"/>
      </left>
      <right style="dashed">
        <color theme="0" tint="-0.24994659260841701"/>
      </right>
      <top/>
      <bottom/>
      <diagonal/>
    </border>
    <border>
      <left style="dotted">
        <color theme="4" tint="-0.24994659260841701"/>
      </left>
      <right style="dotted">
        <color theme="4" tint="-0.24994659260841701"/>
      </right>
      <top style="dotted">
        <color theme="4" tint="-0.24994659260841701"/>
      </top>
      <bottom/>
      <diagonal/>
    </border>
    <border>
      <left/>
      <right/>
      <top/>
      <bottom style="double">
        <color indexed="64"/>
      </bottom>
      <diagonal/>
    </border>
  </borders>
  <cellStyleXfs count="66">
    <xf numFmtId="0" fontId="0" fillId="0" borderId="0"/>
    <xf numFmtId="9" fontId="13" fillId="0" borderId="0" applyFont="0" applyFill="0" applyBorder="0" applyAlignment="0" applyProtection="0"/>
    <xf numFmtId="43" fontId="15" fillId="0" borderId="0" applyFont="0" applyFill="0" applyBorder="0" applyAlignment="0" applyProtection="0"/>
    <xf numFmtId="0" fontId="22" fillId="0" borderId="0" applyNumberFormat="0" applyFill="0" applyBorder="0" applyAlignment="0" applyProtection="0"/>
    <xf numFmtId="0" fontId="24"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7" fillId="2" borderId="0" applyNumberFormat="0" applyBorder="0" applyAlignment="0" applyProtection="0"/>
    <xf numFmtId="0" fontId="28" fillId="6" borderId="9" applyNumberFormat="0" applyAlignment="0" applyProtection="0"/>
    <xf numFmtId="0" fontId="29" fillId="7" borderId="12" applyNumberFormat="0" applyAlignment="0" applyProtection="0"/>
    <xf numFmtId="0" fontId="30" fillId="0" borderId="11" applyNumberFormat="0" applyFill="0" applyAlignment="0" applyProtection="0"/>
    <xf numFmtId="0" fontId="31" fillId="0" borderId="0" applyNumberFormat="0" applyFill="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32" fillId="5" borderId="9" applyNumberFormat="0" applyAlignment="0" applyProtection="0"/>
    <xf numFmtId="0" fontId="33" fillId="3" borderId="0" applyNumberFormat="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0" fontId="34" fillId="4" borderId="0" applyNumberFormat="0" applyBorder="0" applyAlignment="0" applyProtection="0"/>
    <xf numFmtId="0" fontId="24" fillId="8" borderId="13" applyNumberFormat="0" applyFont="0" applyAlignment="0" applyProtection="0"/>
    <xf numFmtId="9" fontId="24" fillId="0" borderId="0" applyFont="0" applyFill="0" applyBorder="0" applyAlignment="0" applyProtection="0"/>
    <xf numFmtId="9" fontId="25" fillId="0" borderId="0" applyFont="0" applyFill="0" applyBorder="0" applyAlignment="0" applyProtection="0"/>
    <xf numFmtId="0" fontId="35" fillId="6" borderId="1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31" fillId="0" borderId="8" applyNumberFormat="0" applyFill="0" applyAlignment="0" applyProtection="0"/>
    <xf numFmtId="0" fontId="40" fillId="0" borderId="14" applyNumberFormat="0" applyFill="0" applyAlignment="0" applyProtection="0"/>
    <xf numFmtId="0" fontId="41" fillId="0" borderId="0"/>
    <xf numFmtId="0" fontId="41" fillId="0" borderId="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3" fontId="13" fillId="0" borderId="0" applyFont="0" applyFill="0" applyBorder="0" applyAlignment="0" applyProtection="0"/>
    <xf numFmtId="0" fontId="47" fillId="0" borderId="0" applyAlignment="0"/>
    <xf numFmtId="0" fontId="51" fillId="34" borderId="0" applyAlignment="0"/>
  </cellStyleXfs>
  <cellXfs count="454">
    <xf numFmtId="0" fontId="0" fillId="0" borderId="0" xfId="0"/>
    <xf numFmtId="0" fontId="14" fillId="0" borderId="0" xfId="0" applyFont="1"/>
    <xf numFmtId="0" fontId="14" fillId="0" borderId="0" xfId="0" applyFont="1" applyAlignment="1">
      <alignment horizontal="left" indent="1"/>
    </xf>
    <xf numFmtId="164" fontId="16" fillId="0" borderId="0" xfId="2" applyNumberFormat="1" applyFont="1" applyBorder="1"/>
    <xf numFmtId="164" fontId="16" fillId="0" borderId="1" xfId="2" applyNumberFormat="1" applyFont="1" applyBorder="1"/>
    <xf numFmtId="164" fontId="17" fillId="0" borderId="0" xfId="2" applyNumberFormat="1" applyFont="1" applyBorder="1"/>
    <xf numFmtId="9" fontId="18" fillId="0" borderId="0" xfId="1" applyFont="1" applyBorder="1" applyAlignment="1">
      <alignment horizontal="center"/>
    </xf>
    <xf numFmtId="9" fontId="19" fillId="0" borderId="0" xfId="1" applyFont="1" applyBorder="1" applyAlignment="1">
      <alignment horizontal="center"/>
    </xf>
    <xf numFmtId="0" fontId="20" fillId="0" borderId="0" xfId="0" applyFont="1"/>
    <xf numFmtId="9" fontId="19" fillId="0" borderId="1" xfId="1" applyFont="1" applyBorder="1" applyAlignment="1">
      <alignment horizontal="center"/>
    </xf>
    <xf numFmtId="0" fontId="20" fillId="0" borderId="0" xfId="0" applyFont="1" applyAlignment="1">
      <alignment horizontal="left"/>
    </xf>
    <xf numFmtId="0" fontId="20" fillId="0" borderId="0" xfId="0" applyFont="1" applyAlignment="1">
      <alignment horizontal="center" vertical="center"/>
    </xf>
    <xf numFmtId="0" fontId="20" fillId="0" borderId="0" xfId="0" quotePrefix="1" applyFont="1" applyAlignment="1">
      <alignment horizontal="center" vertical="center" wrapText="1"/>
    </xf>
    <xf numFmtId="0" fontId="20" fillId="0" borderId="0" xfId="0" quotePrefix="1" applyFont="1" applyAlignment="1">
      <alignment horizontal="left"/>
    </xf>
    <xf numFmtId="165" fontId="18" fillId="0" borderId="0" xfId="1" applyNumberFormat="1" applyFont="1" applyBorder="1" applyAlignment="1">
      <alignment horizontal="center"/>
    </xf>
    <xf numFmtId="0" fontId="20" fillId="0" borderId="2" xfId="0" quotePrefix="1" applyFont="1" applyBorder="1" applyAlignment="1">
      <alignment horizontal="center" vertical="center" wrapText="1"/>
    </xf>
    <xf numFmtId="0" fontId="14" fillId="0" borderId="3" xfId="0" applyFont="1" applyBorder="1"/>
    <xf numFmtId="164" fontId="16" fillId="0" borderId="3" xfId="2" applyNumberFormat="1" applyFont="1" applyBorder="1"/>
    <xf numFmtId="164" fontId="16" fillId="0" borderId="4" xfId="2" applyNumberFormat="1" applyFont="1" applyBorder="1"/>
    <xf numFmtId="164" fontId="17" fillId="0" borderId="3" xfId="2" applyNumberFormat="1" applyFont="1" applyBorder="1"/>
    <xf numFmtId="9" fontId="19" fillId="0" borderId="4" xfId="1" applyFont="1" applyBorder="1" applyAlignment="1">
      <alignment horizontal="center"/>
    </xf>
    <xf numFmtId="165" fontId="18" fillId="0" borderId="3" xfId="1" applyNumberFormat="1" applyFont="1" applyBorder="1" applyAlignment="1">
      <alignment horizontal="center"/>
    </xf>
    <xf numFmtId="165" fontId="18" fillId="0" borderId="5" xfId="1" applyNumberFormat="1" applyFont="1" applyBorder="1" applyAlignment="1">
      <alignment horizontal="center"/>
    </xf>
    <xf numFmtId="0" fontId="14" fillId="0" borderId="0" xfId="0" applyFont="1" applyAlignment="1">
      <alignment horizontal="left" indent="2"/>
    </xf>
    <xf numFmtId="164" fontId="19" fillId="0" borderId="4" xfId="2" applyNumberFormat="1" applyFont="1" applyBorder="1"/>
    <xf numFmtId="166" fontId="43" fillId="0" borderId="0" xfId="2" quotePrefix="1" applyNumberFormat="1" applyFont="1" applyBorder="1" applyAlignment="1">
      <alignment horizontal="left" vertical="center"/>
    </xf>
    <xf numFmtId="0" fontId="14" fillId="0" borderId="0" xfId="0" applyFont="1" applyBorder="1"/>
    <xf numFmtId="164" fontId="19" fillId="0" borderId="0" xfId="2" applyNumberFormat="1" applyFont="1" applyBorder="1"/>
    <xf numFmtId="164" fontId="42" fillId="0" borderId="3" xfId="2" applyNumberFormat="1" applyFont="1" applyBorder="1"/>
    <xf numFmtId="164" fontId="42" fillId="0" borderId="0" xfId="2" applyNumberFormat="1" applyFont="1" applyBorder="1"/>
    <xf numFmtId="164" fontId="19" fillId="0" borderId="1" xfId="2" applyNumberFormat="1" applyFont="1" applyBorder="1"/>
    <xf numFmtId="166" fontId="43" fillId="0" borderId="0" xfId="2" applyNumberFormat="1" applyFont="1" applyBorder="1" applyAlignment="1">
      <alignment horizontal="left" vertical="center"/>
    </xf>
    <xf numFmtId="166" fontId="43" fillId="0" borderId="0" xfId="2" applyNumberFormat="1" applyFont="1" applyBorder="1" applyAlignment="1">
      <alignment vertical="center"/>
    </xf>
    <xf numFmtId="166" fontId="43" fillId="0" borderId="0" xfId="2" quotePrefix="1" applyNumberFormat="1" applyFont="1" applyFill="1" applyBorder="1" applyAlignment="1">
      <alignment horizontal="left" vertical="center" indent="1"/>
    </xf>
    <xf numFmtId="166" fontId="43" fillId="0" borderId="0" xfId="2" quotePrefix="1" applyNumberFormat="1" applyFont="1" applyBorder="1" applyAlignment="1">
      <alignment horizontal="left" vertical="center" indent="1"/>
    </xf>
    <xf numFmtId="166" fontId="43" fillId="0" borderId="0" xfId="2" applyNumberFormat="1" applyFont="1" applyBorder="1" applyAlignment="1">
      <alignment horizontal="left" vertical="center" indent="1"/>
    </xf>
    <xf numFmtId="9" fontId="18" fillId="33" borderId="0" xfId="1" applyFont="1" applyFill="1" applyBorder="1" applyAlignment="1">
      <alignment horizontal="center"/>
    </xf>
    <xf numFmtId="0" fontId="14" fillId="0" borderId="0" xfId="0" quotePrefix="1" applyFont="1" applyAlignment="1">
      <alignment horizontal="left" indent="2"/>
    </xf>
    <xf numFmtId="0" fontId="23" fillId="0" borderId="0" xfId="0" applyFont="1" applyBorder="1"/>
    <xf numFmtId="164" fontId="16" fillId="33" borderId="0" xfId="2" applyNumberFormat="1" applyFont="1" applyFill="1" applyBorder="1"/>
    <xf numFmtId="164" fontId="16" fillId="33" borderId="1" xfId="2" applyNumberFormat="1" applyFont="1" applyFill="1" applyBorder="1"/>
    <xf numFmtId="164" fontId="17" fillId="33" borderId="0" xfId="2" applyNumberFormat="1" applyFont="1" applyFill="1" applyBorder="1"/>
    <xf numFmtId="164" fontId="19" fillId="33" borderId="1" xfId="2" applyNumberFormat="1" applyFont="1" applyFill="1" applyBorder="1"/>
    <xf numFmtId="0" fontId="23" fillId="0" borderId="0" xfId="0" applyFont="1"/>
    <xf numFmtId="166" fontId="14" fillId="0" borderId="0" xfId="0" applyNumberFormat="1" applyFont="1"/>
    <xf numFmtId="164" fontId="17" fillId="0" borderId="5" xfId="2" applyNumberFormat="1" applyFont="1" applyBorder="1"/>
    <xf numFmtId="0" fontId="23" fillId="0" borderId="0" xfId="0" quotePrefix="1" applyFont="1" applyAlignment="1">
      <alignment horizontal="left"/>
    </xf>
    <xf numFmtId="0" fontId="50" fillId="0" borderId="0" xfId="0" applyFont="1"/>
    <xf numFmtId="0" fontId="50" fillId="0" borderId="0" xfId="0" quotePrefix="1" applyFont="1" applyAlignment="1">
      <alignment horizontal="left"/>
    </xf>
    <xf numFmtId="0" fontId="46" fillId="0" borderId="0" xfId="0" applyFont="1"/>
    <xf numFmtId="9" fontId="16" fillId="0" borderId="0" xfId="1" applyFont="1" applyBorder="1" applyAlignment="1">
      <alignment horizontal="center"/>
    </xf>
    <xf numFmtId="166" fontId="23" fillId="0" borderId="0" xfId="0" applyNumberFormat="1" applyFont="1"/>
    <xf numFmtId="168" fontId="26" fillId="0" borderId="0" xfId="0" applyNumberFormat="1" applyFont="1" applyFill="1" applyBorder="1"/>
    <xf numFmtId="166" fontId="41" fillId="0" borderId="0" xfId="2" quotePrefix="1" applyNumberFormat="1" applyFont="1" applyBorder="1" applyAlignment="1">
      <alignment horizontal="left" vertical="center"/>
    </xf>
    <xf numFmtId="9" fontId="19" fillId="0" borderId="0" xfId="1" applyNumberFormat="1" applyFont="1" applyBorder="1" applyAlignment="1">
      <alignment horizontal="center"/>
    </xf>
    <xf numFmtId="164" fontId="16" fillId="0" borderId="0" xfId="2" applyNumberFormat="1" applyFont="1" applyFill="1" applyBorder="1"/>
    <xf numFmtId="0" fontId="0" fillId="35" borderId="0" xfId="0" applyFill="1"/>
    <xf numFmtId="0" fontId="49" fillId="35" borderId="0" xfId="0" quotePrefix="1" applyFont="1" applyFill="1" applyAlignment="1">
      <alignment horizontal="center" vertical="center"/>
    </xf>
    <xf numFmtId="0" fontId="49" fillId="35" borderId="0" xfId="0" applyFont="1" applyFill="1" applyAlignment="1">
      <alignment horizontal="center" vertical="center"/>
    </xf>
    <xf numFmtId="0" fontId="49" fillId="35" borderId="0" xfId="0" quotePrefix="1" applyFont="1" applyFill="1" applyAlignment="1">
      <alignment horizontal="center" vertical="center" wrapText="1"/>
    </xf>
    <xf numFmtId="0" fontId="47" fillId="35" borderId="0" xfId="64" applyFill="1" applyAlignment="1">
      <alignment horizontal="left" vertical="top" wrapText="1"/>
    </xf>
    <xf numFmtId="165" fontId="48" fillId="35" borderId="0" xfId="1" applyNumberFormat="1" applyFont="1" applyFill="1" applyAlignment="1">
      <alignment horizontal="right" vertical="top" wrapText="1"/>
    </xf>
    <xf numFmtId="0" fontId="43" fillId="35" borderId="0" xfId="0" applyFont="1" applyFill="1" applyAlignment="1">
      <alignment vertical="top" wrapText="1"/>
    </xf>
    <xf numFmtId="0" fontId="14" fillId="35" borderId="0" xfId="0" quotePrefix="1" applyFont="1" applyFill="1" applyAlignment="1">
      <alignment horizontal="left"/>
    </xf>
    <xf numFmtId="0" fontId="23" fillId="35" borderId="0" xfId="0" applyFont="1" applyFill="1"/>
    <xf numFmtId="49" fontId="43" fillId="35" borderId="0" xfId="0" applyNumberFormat="1" applyFont="1" applyFill="1" applyAlignment="1">
      <alignment horizontal="left" vertical="top" wrapText="1"/>
    </xf>
    <xf numFmtId="165" fontId="44" fillId="35" borderId="0" xfId="1" applyNumberFormat="1" applyFont="1" applyFill="1" applyAlignment="1">
      <alignment horizontal="right" vertical="top" wrapText="1"/>
    </xf>
    <xf numFmtId="49" fontId="43" fillId="35" borderId="0" xfId="0" quotePrefix="1" applyNumberFormat="1" applyFont="1" applyFill="1" applyAlignment="1">
      <alignment horizontal="left" vertical="top" wrapText="1"/>
    </xf>
    <xf numFmtId="0" fontId="55" fillId="35" borderId="0" xfId="0" applyFont="1" applyFill="1"/>
    <xf numFmtId="15" fontId="14" fillId="35" borderId="0" xfId="0" applyNumberFormat="1" applyFont="1" applyFill="1" applyAlignment="1">
      <alignment horizontal="center"/>
    </xf>
    <xf numFmtId="164" fontId="16" fillId="35" borderId="0" xfId="2" applyNumberFormat="1" applyFont="1" applyFill="1" applyBorder="1"/>
    <xf numFmtId="164" fontId="17" fillId="35" borderId="0" xfId="2" applyNumberFormat="1" applyFont="1" applyFill="1" applyBorder="1"/>
    <xf numFmtId="164" fontId="56" fillId="0" borderId="0" xfId="2" applyNumberFormat="1" applyFont="1" applyBorder="1"/>
    <xf numFmtId="164" fontId="56" fillId="0" borderId="0" xfId="2" applyNumberFormat="1" applyFont="1" applyFill="1" applyBorder="1"/>
    <xf numFmtId="169" fontId="16" fillId="0" borderId="0" xfId="2" applyNumberFormat="1" applyFont="1" applyBorder="1"/>
    <xf numFmtId="0" fontId="20" fillId="35" borderId="0" xfId="0" applyFont="1" applyFill="1"/>
    <xf numFmtId="0" fontId="41" fillId="0" borderId="0" xfId="0" applyFont="1"/>
    <xf numFmtId="9" fontId="16" fillId="0" borderId="0" xfId="1" applyFont="1" applyBorder="1"/>
    <xf numFmtId="167" fontId="0" fillId="35" borderId="0" xfId="0" applyNumberFormat="1" applyFill="1"/>
    <xf numFmtId="166" fontId="43" fillId="0" borderId="0" xfId="2" applyNumberFormat="1" applyFont="1" applyBorder="1" applyAlignment="1">
      <alignment horizontal="left" vertical="center" indent="3"/>
    </xf>
    <xf numFmtId="0" fontId="0" fillId="0" borderId="0" xfId="0" applyFont="1"/>
    <xf numFmtId="0" fontId="20" fillId="0" borderId="0" xfId="0" quotePrefix="1" applyFont="1" applyAlignment="1">
      <alignment horizontal="center" vertical="center" wrapText="1"/>
    </xf>
    <xf numFmtId="0" fontId="20" fillId="37" borderId="0" xfId="0" quotePrefix="1" applyFont="1" applyFill="1" applyAlignment="1">
      <alignment horizontal="left"/>
    </xf>
    <xf numFmtId="4" fontId="0" fillId="0" borderId="0" xfId="0" applyNumberFormat="1"/>
    <xf numFmtId="166" fontId="16" fillId="0" borderId="0" xfId="2" applyNumberFormat="1" applyFont="1" applyBorder="1"/>
    <xf numFmtId="0" fontId="0" fillId="0" borderId="0" xfId="0" applyAlignment="1">
      <alignment horizontal="left" indent="2"/>
    </xf>
    <xf numFmtId="0" fontId="60" fillId="0" borderId="0" xfId="0" applyFont="1" applyAlignment="1">
      <alignment horizontal="left"/>
    </xf>
    <xf numFmtId="0" fontId="45" fillId="38" borderId="0" xfId="0" applyFont="1" applyFill="1" applyAlignment="1">
      <alignment horizontal="center" vertical="center"/>
    </xf>
    <xf numFmtId="0" fontId="0" fillId="0" borderId="0" xfId="0" quotePrefix="1" applyAlignment="1">
      <alignment horizontal="left" indent="2"/>
    </xf>
    <xf numFmtId="0" fontId="52" fillId="0" borderId="0" xfId="0" applyFont="1" applyFill="1" applyAlignment="1">
      <alignment horizontal="left" vertical="center"/>
    </xf>
    <xf numFmtId="0" fontId="45" fillId="38" borderId="0" xfId="0" quotePrefix="1" applyFont="1" applyFill="1" applyAlignment="1">
      <alignment horizontal="center" wrapText="1"/>
    </xf>
    <xf numFmtId="0" fontId="45" fillId="38" borderId="0" xfId="0" quotePrefix="1" applyFont="1" applyFill="1" applyAlignment="1">
      <alignment horizontal="center" vertical="center" wrapText="1"/>
    </xf>
    <xf numFmtId="0" fontId="46" fillId="0" borderId="0" xfId="0" quotePrefix="1" applyFont="1" applyAlignment="1">
      <alignment horizontal="left"/>
    </xf>
    <xf numFmtId="0" fontId="12" fillId="0" borderId="0" xfId="0" quotePrefix="1" applyFont="1" applyAlignment="1">
      <alignment horizontal="left"/>
    </xf>
    <xf numFmtId="170" fontId="12" fillId="0" borderId="0" xfId="0" applyNumberFormat="1" applyFont="1" applyAlignment="1">
      <alignment horizontal="center"/>
    </xf>
    <xf numFmtId="0" fontId="12" fillId="0" borderId="0" xfId="0" applyFont="1"/>
    <xf numFmtId="171" fontId="14" fillId="0" borderId="0" xfId="0" applyNumberFormat="1" applyFont="1" applyAlignment="1">
      <alignment horizontal="center"/>
    </xf>
    <xf numFmtId="172" fontId="61" fillId="0" borderId="0" xfId="0" applyNumberFormat="1" applyFont="1" applyAlignment="1">
      <alignment horizontal="center"/>
    </xf>
    <xf numFmtId="0" fontId="52" fillId="0" borderId="0" xfId="0" applyFont="1" applyFill="1" applyAlignment="1">
      <alignment vertical="center"/>
    </xf>
    <xf numFmtId="0" fontId="58" fillId="38" borderId="0" xfId="0" applyFont="1" applyFill="1"/>
    <xf numFmtId="0" fontId="62" fillId="38" borderId="0" xfId="0" applyFont="1" applyFill="1"/>
    <xf numFmtId="0" fontId="63" fillId="38" borderId="0" xfId="0" applyFont="1" applyFill="1"/>
    <xf numFmtId="0" fontId="62" fillId="38" borderId="0" xfId="0" quotePrefix="1" applyFont="1" applyFill="1" applyAlignment="1">
      <alignment horizontal="left"/>
    </xf>
    <xf numFmtId="0" fontId="57" fillId="38" borderId="0" xfId="0" applyFont="1" applyFill="1"/>
    <xf numFmtId="0" fontId="64" fillId="38" borderId="0" xfId="0" quotePrefix="1" applyFont="1" applyFill="1" applyAlignment="1">
      <alignment horizontal="center" vertical="center"/>
    </xf>
    <xf numFmtId="0" fontId="64" fillId="38" borderId="0" xfId="0" applyFont="1" applyFill="1" applyAlignment="1">
      <alignment horizontal="center" vertical="center"/>
    </xf>
    <xf numFmtId="0" fontId="64" fillId="38" borderId="0" xfId="0" quotePrefix="1" applyFont="1" applyFill="1" applyAlignment="1">
      <alignment horizontal="center" vertical="center" wrapText="1"/>
    </xf>
    <xf numFmtId="49" fontId="64" fillId="38" borderId="0" xfId="0" applyNumberFormat="1" applyFont="1" applyFill="1" applyAlignment="1">
      <alignment horizontal="center" vertical="top" wrapText="1"/>
    </xf>
    <xf numFmtId="167" fontId="64" fillId="38" borderId="0" xfId="0" applyNumberFormat="1" applyFont="1" applyFill="1" applyAlignment="1">
      <alignment horizontal="right" vertical="top" wrapText="1"/>
    </xf>
    <xf numFmtId="166" fontId="64" fillId="38" borderId="0" xfId="63" applyNumberFormat="1" applyFont="1" applyFill="1" applyAlignment="1">
      <alignment horizontal="right" vertical="top" wrapText="1"/>
    </xf>
    <xf numFmtId="9" fontId="64" fillId="38" borderId="0" xfId="1" applyFont="1" applyFill="1" applyAlignment="1">
      <alignment horizontal="right" vertical="top" wrapText="1"/>
    </xf>
    <xf numFmtId="165" fontId="64" fillId="38" borderId="0" xfId="1" applyNumberFormat="1" applyFont="1" applyFill="1" applyAlignment="1">
      <alignment horizontal="right" vertical="top" wrapText="1"/>
    </xf>
    <xf numFmtId="49" fontId="57" fillId="38" borderId="16" xfId="0" applyNumberFormat="1" applyFont="1" applyFill="1" applyBorder="1" applyAlignment="1">
      <alignment horizontal="center" vertical="center" wrapText="1"/>
    </xf>
    <xf numFmtId="167" fontId="57" fillId="38" borderId="17" xfId="0" applyNumberFormat="1" applyFont="1" applyFill="1" applyBorder="1" applyAlignment="1">
      <alignment horizontal="right" vertical="center" wrapText="1"/>
    </xf>
    <xf numFmtId="167" fontId="57" fillId="38" borderId="18" xfId="0" applyNumberFormat="1" applyFont="1" applyFill="1" applyBorder="1" applyAlignment="1">
      <alignment horizontal="right" vertical="center" wrapText="1"/>
    </xf>
    <xf numFmtId="0" fontId="45" fillId="0" borderId="0" xfId="0" applyFont="1" applyFill="1" applyBorder="1" applyAlignment="1">
      <alignment horizontal="left" vertical="center"/>
    </xf>
    <xf numFmtId="0" fontId="52" fillId="0" borderId="0" xfId="0" quotePrefix="1" applyFont="1" applyFill="1" applyAlignment="1">
      <alignment horizontal="left" vertical="center"/>
    </xf>
    <xf numFmtId="173" fontId="12" fillId="0" borderId="0" xfId="0" applyNumberFormat="1" applyFont="1" applyAlignment="1">
      <alignment horizontal="center"/>
    </xf>
    <xf numFmtId="165" fontId="12" fillId="0" borderId="0" xfId="0" applyNumberFormat="1" applyFont="1"/>
    <xf numFmtId="0" fontId="45" fillId="38" borderId="0" xfId="0" applyFont="1" applyFill="1" applyAlignment="1">
      <alignment vertical="center"/>
    </xf>
    <xf numFmtId="0" fontId="23" fillId="0" borderId="0" xfId="0" applyFont="1" applyAlignment="1">
      <alignment horizontal="right"/>
    </xf>
    <xf numFmtId="170" fontId="41" fillId="39" borderId="19" xfId="0" applyNumberFormat="1" applyFont="1" applyFill="1" applyBorder="1"/>
    <xf numFmtId="0" fontId="12" fillId="35" borderId="0" xfId="0" applyFont="1" applyFill="1"/>
    <xf numFmtId="0" fontId="12" fillId="35" borderId="0" xfId="0" applyFont="1" applyFill="1" applyAlignment="1">
      <alignment horizontal="left" indent="2"/>
    </xf>
    <xf numFmtId="0" fontId="20" fillId="35" borderId="0" xfId="0" quotePrefix="1" applyFont="1" applyFill="1" applyAlignment="1">
      <alignment horizontal="left"/>
    </xf>
    <xf numFmtId="0" fontId="12" fillId="0" borderId="0" xfId="0" applyFont="1" applyAlignment="1">
      <alignment horizontal="left" indent="1"/>
    </xf>
    <xf numFmtId="0" fontId="20" fillId="40" borderId="0" xfId="0" applyFont="1" applyFill="1" applyAlignment="1">
      <alignment horizontal="center"/>
    </xf>
    <xf numFmtId="0" fontId="23" fillId="0" borderId="0" xfId="0" applyFont="1" applyAlignment="1"/>
    <xf numFmtId="0" fontId="45" fillId="38" borderId="0" xfId="0" quotePrefix="1" applyFont="1" applyFill="1" applyAlignment="1">
      <alignment horizontal="left" vertical="center"/>
    </xf>
    <xf numFmtId="0" fontId="65" fillId="38" borderId="15" xfId="50" applyFont="1" applyFill="1" applyBorder="1" applyAlignment="1">
      <alignment horizontal="center" vertical="center" wrapText="1"/>
    </xf>
    <xf numFmtId="0" fontId="65" fillId="38" borderId="15" xfId="50" quotePrefix="1" applyFont="1" applyFill="1" applyBorder="1" applyAlignment="1">
      <alignment horizontal="center" vertical="center" wrapText="1"/>
    </xf>
    <xf numFmtId="0" fontId="45" fillId="38" borderId="0" xfId="0" applyFont="1" applyFill="1" applyAlignment="1">
      <alignment horizontal="left"/>
    </xf>
    <xf numFmtId="164" fontId="65" fillId="38" borderId="0" xfId="2" applyNumberFormat="1" applyFont="1" applyFill="1" applyBorder="1"/>
    <xf numFmtId="164" fontId="65" fillId="38" borderId="3" xfId="2" applyNumberFormat="1" applyFont="1" applyFill="1" applyBorder="1"/>
    <xf numFmtId="166" fontId="59" fillId="38" borderId="0" xfId="2" quotePrefix="1" applyNumberFormat="1" applyFont="1" applyFill="1" applyBorder="1" applyAlignment="1">
      <alignment horizontal="left" vertical="center"/>
    </xf>
    <xf numFmtId="9" fontId="66" fillId="0" borderId="0" xfId="1" applyFont="1" applyBorder="1" applyAlignment="1">
      <alignment horizontal="center"/>
    </xf>
    <xf numFmtId="0" fontId="0" fillId="0" borderId="1" xfId="0" applyBorder="1"/>
    <xf numFmtId="164" fontId="65" fillId="38" borderId="22" xfId="2" applyNumberFormat="1" applyFont="1" applyFill="1" applyBorder="1"/>
    <xf numFmtId="164" fontId="65" fillId="38" borderId="23" xfId="2" applyNumberFormat="1" applyFont="1" applyFill="1" applyBorder="1"/>
    <xf numFmtId="0" fontId="20" fillId="38" borderId="0" xfId="0" applyFont="1" applyFill="1"/>
    <xf numFmtId="0" fontId="14" fillId="38" borderId="0" xfId="0" applyFont="1" applyFill="1"/>
    <xf numFmtId="0" fontId="14" fillId="38" borderId="3" xfId="0" applyFont="1" applyFill="1" applyBorder="1"/>
    <xf numFmtId="0" fontId="68" fillId="38" borderId="15" xfId="50" applyFont="1" applyFill="1" applyBorder="1" applyAlignment="1">
      <alignment horizontal="center" vertical="center" wrapText="1"/>
    </xf>
    <xf numFmtId="0" fontId="67" fillId="38" borderId="15" xfId="50" applyFont="1" applyFill="1" applyBorder="1" applyAlignment="1">
      <alignment horizontal="center" vertical="center" wrapText="1"/>
    </xf>
    <xf numFmtId="0" fontId="65" fillId="35" borderId="15" xfId="50" quotePrefix="1" applyFont="1" applyFill="1" applyBorder="1" applyAlignment="1">
      <alignment horizontal="center" vertical="center" wrapText="1"/>
    </xf>
    <xf numFmtId="0" fontId="65" fillId="35" borderId="15" xfId="50" applyFont="1" applyFill="1" applyBorder="1" applyAlignment="1">
      <alignment horizontal="center" vertical="center" wrapText="1"/>
    </xf>
    <xf numFmtId="170" fontId="0" fillId="0" borderId="0" xfId="0" applyNumberFormat="1" applyAlignment="1">
      <alignment horizontal="center"/>
    </xf>
    <xf numFmtId="166" fontId="43" fillId="35" borderId="0" xfId="2" applyNumberFormat="1" applyFont="1" applyFill="1" applyBorder="1" applyAlignment="1">
      <alignment horizontal="left" vertical="center" indent="1"/>
    </xf>
    <xf numFmtId="166" fontId="52" fillId="0" borderId="0" xfId="2" quotePrefix="1" applyNumberFormat="1" applyFont="1" applyBorder="1" applyAlignment="1">
      <alignment horizontal="center" vertical="center"/>
    </xf>
    <xf numFmtId="43" fontId="16" fillId="0" borderId="0" xfId="2" applyNumberFormat="1" applyFont="1" applyBorder="1"/>
    <xf numFmtId="0" fontId="69" fillId="0" borderId="0" xfId="0" quotePrefix="1" applyFont="1" applyFill="1" applyAlignment="1">
      <alignment horizontal="right" vertical="center"/>
    </xf>
    <xf numFmtId="166" fontId="52" fillId="0" borderId="0" xfId="2" applyNumberFormat="1" applyFont="1" applyBorder="1" applyAlignment="1">
      <alignment horizontal="left" vertical="center" indent="1"/>
    </xf>
    <xf numFmtId="173" fontId="14" fillId="0" borderId="0" xfId="0" applyNumberFormat="1" applyFont="1" applyAlignment="1">
      <alignment horizontal="center"/>
    </xf>
    <xf numFmtId="0" fontId="11" fillId="41" borderId="0" xfId="0" applyFont="1" applyFill="1"/>
    <xf numFmtId="0" fontId="45" fillId="41" borderId="0" xfId="0" quotePrefix="1" applyFont="1" applyFill="1" applyAlignment="1">
      <alignment horizontal="left"/>
    </xf>
    <xf numFmtId="0" fontId="11" fillId="0" borderId="0" xfId="0" applyFont="1"/>
    <xf numFmtId="0" fontId="45" fillId="38" borderId="0" xfId="0" applyFont="1" applyFill="1"/>
    <xf numFmtId="0" fontId="11" fillId="38" borderId="0" xfId="0" applyFont="1" applyFill="1"/>
    <xf numFmtId="10" fontId="70" fillId="39" borderId="19" xfId="0" applyNumberFormat="1" applyFont="1" applyFill="1" applyBorder="1"/>
    <xf numFmtId="14" fontId="70" fillId="39" borderId="19" xfId="0" applyNumberFormat="1" applyFont="1" applyFill="1" applyBorder="1"/>
    <xf numFmtId="170" fontId="71" fillId="39" borderId="19" xfId="0" applyNumberFormat="1" applyFont="1" applyFill="1" applyBorder="1"/>
    <xf numFmtId="0" fontId="11" fillId="33" borderId="25" xfId="0" applyFont="1" applyFill="1" applyBorder="1"/>
    <xf numFmtId="170" fontId="11" fillId="0" borderId="0" xfId="0" applyNumberFormat="1" applyFont="1"/>
    <xf numFmtId="0" fontId="11" fillId="0" borderId="0" xfId="0" applyFont="1" applyFill="1"/>
    <xf numFmtId="0" fontId="11" fillId="0" borderId="0" xfId="0" applyFont="1" applyFill="1" applyBorder="1"/>
    <xf numFmtId="14" fontId="11" fillId="0" borderId="0" xfId="0" applyNumberFormat="1" applyFont="1"/>
    <xf numFmtId="0" fontId="11" fillId="0" borderId="25" xfId="0" applyFont="1" applyBorder="1"/>
    <xf numFmtId="174" fontId="11" fillId="0" borderId="25" xfId="0" applyNumberFormat="1" applyFont="1" applyBorder="1"/>
    <xf numFmtId="0" fontId="72" fillId="0" borderId="0" xfId="0" applyFont="1"/>
    <xf numFmtId="0" fontId="11" fillId="33" borderId="25" xfId="0" applyFont="1" applyFill="1" applyBorder="1" applyAlignment="1">
      <alignment horizontal="center"/>
    </xf>
    <xf numFmtId="10" fontId="61" fillId="0" borderId="0" xfId="0" applyNumberFormat="1" applyFont="1" applyAlignment="1">
      <alignment horizontal="center"/>
    </xf>
    <xf numFmtId="170" fontId="11" fillId="0" borderId="0" xfId="0" applyNumberFormat="1" applyFont="1" applyAlignment="1">
      <alignment horizontal="center"/>
    </xf>
    <xf numFmtId="10" fontId="61" fillId="0" borderId="25" xfId="0" applyNumberFormat="1" applyFont="1" applyBorder="1" applyAlignment="1">
      <alignment horizontal="center"/>
    </xf>
    <xf numFmtId="170" fontId="11" fillId="0" borderId="25" xfId="0" applyNumberFormat="1" applyFont="1" applyBorder="1"/>
    <xf numFmtId="0" fontId="11" fillId="33" borderId="0" xfId="0" applyFont="1" applyFill="1" applyBorder="1"/>
    <xf numFmtId="0" fontId="11" fillId="33" borderId="26" xfId="0" applyFont="1" applyFill="1" applyBorder="1"/>
    <xf numFmtId="0" fontId="11" fillId="33" borderId="26" xfId="0" quotePrefix="1" applyFont="1" applyFill="1" applyBorder="1" applyAlignment="1">
      <alignment horizontal="center"/>
    </xf>
    <xf numFmtId="0" fontId="11" fillId="33" borderId="0" xfId="0" applyFont="1" applyFill="1" applyBorder="1" applyAlignment="1">
      <alignment horizontal="center"/>
    </xf>
    <xf numFmtId="0" fontId="11" fillId="0" borderId="0" xfId="0" applyFont="1" applyAlignment="1">
      <alignment horizontal="center"/>
    </xf>
    <xf numFmtId="10" fontId="61" fillId="33" borderId="25" xfId="0" applyNumberFormat="1" applyFont="1" applyFill="1" applyBorder="1" applyAlignment="1">
      <alignment horizontal="center"/>
    </xf>
    <xf numFmtId="175" fontId="11" fillId="0" borderId="0" xfId="0" applyNumberFormat="1" applyFont="1"/>
    <xf numFmtId="175" fontId="11" fillId="0" borderId="0" xfId="0" applyNumberFormat="1" applyFont="1" applyAlignment="1"/>
    <xf numFmtId="10" fontId="61" fillId="0" borderId="1" xfId="0" applyNumberFormat="1" applyFont="1" applyBorder="1" applyAlignment="1">
      <alignment horizontal="center"/>
    </xf>
    <xf numFmtId="170" fontId="11" fillId="0" borderId="1" xfId="0" applyNumberFormat="1" applyFont="1" applyBorder="1" applyAlignment="1">
      <alignment horizontal="center"/>
    </xf>
    <xf numFmtId="175" fontId="11" fillId="0" borderId="1" xfId="0" applyNumberFormat="1" applyFont="1" applyBorder="1"/>
    <xf numFmtId="175" fontId="11" fillId="0" borderId="1" xfId="0" applyNumberFormat="1" applyFont="1" applyBorder="1" applyAlignment="1"/>
    <xf numFmtId="173" fontId="11" fillId="0" borderId="0" xfId="0" applyNumberFormat="1" applyFont="1" applyAlignment="1">
      <alignment horizontal="center"/>
    </xf>
    <xf numFmtId="0" fontId="0" fillId="38" borderId="0" xfId="0" applyFill="1"/>
    <xf numFmtId="0" fontId="73" fillId="38" borderId="0" xfId="0" applyFont="1" applyFill="1"/>
    <xf numFmtId="0" fontId="73" fillId="38" borderId="0" xfId="0" quotePrefix="1" applyFont="1" applyFill="1" applyAlignment="1">
      <alignment horizontal="left"/>
    </xf>
    <xf numFmtId="0" fontId="45" fillId="38" borderId="0" xfId="0" quotePrefix="1" applyFont="1" applyFill="1" applyAlignment="1">
      <alignment horizontal="left"/>
    </xf>
    <xf numFmtId="0" fontId="53" fillId="38" borderId="0" xfId="0" applyFont="1" applyFill="1"/>
    <xf numFmtId="170" fontId="20" fillId="0" borderId="0" xfId="0" applyNumberFormat="1" applyFont="1" applyAlignment="1">
      <alignment horizontal="center"/>
    </xf>
    <xf numFmtId="170" fontId="14" fillId="0" borderId="0" xfId="0" applyNumberFormat="1" applyFont="1" applyAlignment="1">
      <alignment horizontal="center"/>
    </xf>
    <xf numFmtId="174" fontId="14" fillId="0" borderId="0" xfId="0" applyNumberFormat="1" applyFont="1" applyAlignment="1">
      <alignment horizontal="center"/>
    </xf>
    <xf numFmtId="170" fontId="74" fillId="39" borderId="27" xfId="0" applyNumberFormat="1" applyFont="1" applyFill="1" applyBorder="1"/>
    <xf numFmtId="0" fontId="0" fillId="0" borderId="0" xfId="0" quotePrefix="1" applyAlignment="1">
      <alignment horizontal="left"/>
    </xf>
    <xf numFmtId="172" fontId="75" fillId="39" borderId="27" xfId="0" applyNumberFormat="1" applyFont="1" applyFill="1" applyBorder="1" applyAlignment="1"/>
    <xf numFmtId="0" fontId="11" fillId="33" borderId="25" xfId="0" quotePrefix="1" applyFont="1" applyFill="1" applyBorder="1" applyAlignment="1">
      <alignment horizontal="left"/>
    </xf>
    <xf numFmtId="0" fontId="60" fillId="0" borderId="0" xfId="0" applyFont="1"/>
    <xf numFmtId="0" fontId="0" fillId="0" borderId="0" xfId="0" applyAlignment="1">
      <alignment horizontal="left" indent="1"/>
    </xf>
    <xf numFmtId="0" fontId="0" fillId="0" borderId="0" xfId="0" applyAlignment="1">
      <alignment horizontal="right"/>
    </xf>
    <xf numFmtId="0" fontId="0" fillId="0" borderId="28" xfId="0" applyBorder="1"/>
    <xf numFmtId="0" fontId="0" fillId="0" borderId="28" xfId="0" applyBorder="1" applyAlignment="1">
      <alignment horizontal="right"/>
    </xf>
    <xf numFmtId="173" fontId="11" fillId="0" borderId="28" xfId="0" applyNumberFormat="1" applyFont="1" applyBorder="1" applyAlignment="1">
      <alignment horizontal="center"/>
    </xf>
    <xf numFmtId="170" fontId="0" fillId="0" borderId="28" xfId="0" applyNumberFormat="1" applyBorder="1" applyAlignment="1">
      <alignment horizontal="center"/>
    </xf>
    <xf numFmtId="0" fontId="0" fillId="0" borderId="28" xfId="0" quotePrefix="1" applyBorder="1" applyAlignment="1">
      <alignment horizontal="left" indent="1"/>
    </xf>
    <xf numFmtId="165" fontId="61" fillId="0" borderId="28" xfId="0" applyNumberFormat="1" applyFont="1" applyBorder="1" applyAlignment="1">
      <alignment horizontal="center"/>
    </xf>
    <xf numFmtId="165" fontId="61" fillId="0" borderId="0" xfId="0" applyNumberFormat="1" applyFont="1" applyAlignment="1">
      <alignment horizontal="center"/>
    </xf>
    <xf numFmtId="0" fontId="46" fillId="36" borderId="0" xfId="0" applyFont="1" applyFill="1"/>
    <xf numFmtId="170" fontId="46" fillId="36" borderId="0" xfId="0" applyNumberFormat="1" applyFont="1" applyFill="1" applyAlignment="1">
      <alignment horizontal="center"/>
    </xf>
    <xf numFmtId="173" fontId="20" fillId="36" borderId="0" xfId="0" applyNumberFormat="1" applyFont="1" applyFill="1" applyAlignment="1">
      <alignment horizontal="center"/>
    </xf>
    <xf numFmtId="0" fontId="46" fillId="36" borderId="1" xfId="0" applyFont="1" applyFill="1" applyBorder="1"/>
    <xf numFmtId="170" fontId="46" fillId="36" borderId="1" xfId="0" applyNumberFormat="1" applyFont="1" applyFill="1" applyBorder="1" applyAlignment="1">
      <alignment horizontal="center"/>
    </xf>
    <xf numFmtId="0" fontId="60" fillId="36" borderId="1" xfId="0" applyFont="1" applyFill="1" applyBorder="1"/>
    <xf numFmtId="173" fontId="20" fillId="36" borderId="1" xfId="0" applyNumberFormat="1" applyFont="1" applyFill="1" applyBorder="1" applyAlignment="1">
      <alignment horizontal="center"/>
    </xf>
    <xf numFmtId="0" fontId="0" fillId="0" borderId="28" xfId="0" applyBorder="1" applyAlignment="1">
      <alignment horizontal="left" indent="1"/>
    </xf>
    <xf numFmtId="0" fontId="45" fillId="38" borderId="0" xfId="0" quotePrefix="1" applyFont="1" applyFill="1" applyAlignment="1">
      <alignment horizontal="right"/>
    </xf>
    <xf numFmtId="0" fontId="0" fillId="0" borderId="29" xfId="0" quotePrefix="1" applyBorder="1" applyAlignment="1">
      <alignment horizontal="left" indent="1"/>
    </xf>
    <xf numFmtId="0" fontId="0" fillId="0" borderId="30" xfId="0" applyBorder="1"/>
    <xf numFmtId="0" fontId="0" fillId="0" borderId="30" xfId="0" applyBorder="1" applyAlignment="1">
      <alignment horizontal="right"/>
    </xf>
    <xf numFmtId="173" fontId="11" fillId="0" borderId="30" xfId="0" applyNumberFormat="1" applyFont="1" applyBorder="1" applyAlignment="1">
      <alignment horizontal="center"/>
    </xf>
    <xf numFmtId="170" fontId="0" fillId="0" borderId="30" xfId="0" applyNumberFormat="1" applyBorder="1" applyAlignment="1">
      <alignment horizontal="center"/>
    </xf>
    <xf numFmtId="173" fontId="11" fillId="0" borderId="31" xfId="0" applyNumberFormat="1" applyFont="1" applyBorder="1" applyAlignment="1">
      <alignment horizontal="center"/>
    </xf>
    <xf numFmtId="0" fontId="0" fillId="0" borderId="29" xfId="0" applyBorder="1" applyAlignment="1">
      <alignment horizontal="left" indent="1"/>
    </xf>
    <xf numFmtId="172" fontId="61" fillId="0" borderId="30" xfId="0" applyNumberFormat="1" applyFont="1" applyBorder="1" applyAlignment="1">
      <alignment horizontal="center"/>
    </xf>
    <xf numFmtId="9" fontId="19" fillId="33" borderId="1" xfId="1" applyFont="1" applyFill="1" applyBorder="1" applyAlignment="1">
      <alignment horizontal="center"/>
    </xf>
    <xf numFmtId="9" fontId="54" fillId="0" borderId="0" xfId="1" applyFont="1" applyBorder="1" applyAlignment="1">
      <alignment horizontal="center"/>
    </xf>
    <xf numFmtId="9" fontId="54" fillId="33" borderId="1" xfId="1" applyFont="1" applyFill="1" applyBorder="1" applyAlignment="1">
      <alignment horizontal="center"/>
    </xf>
    <xf numFmtId="0" fontId="14" fillId="35" borderId="0" xfId="0" applyFont="1" applyFill="1" applyAlignment="1">
      <alignment horizontal="center" vertical="center"/>
    </xf>
    <xf numFmtId="176" fontId="16" fillId="0" borderId="0" xfId="1" applyNumberFormat="1" applyFont="1" applyBorder="1"/>
    <xf numFmtId="0" fontId="20" fillId="35" borderId="0" xfId="0" applyFont="1" applyFill="1" applyBorder="1" applyAlignment="1">
      <alignment horizontal="center"/>
    </xf>
    <xf numFmtId="0" fontId="46" fillId="35" borderId="0" xfId="0" applyFont="1" applyFill="1"/>
    <xf numFmtId="0" fontId="46" fillId="35" borderId="0" xfId="0" applyFont="1" applyFill="1" applyAlignment="1">
      <alignment horizontal="center"/>
    </xf>
    <xf numFmtId="0" fontId="20" fillId="35" borderId="0" xfId="0" applyFont="1" applyFill="1" applyAlignment="1">
      <alignment horizontal="center"/>
    </xf>
    <xf numFmtId="10" fontId="76" fillId="33" borderId="0" xfId="0" applyNumberFormat="1" applyFont="1" applyFill="1" applyBorder="1" applyAlignment="1">
      <alignment horizontal="center" vertical="center"/>
    </xf>
    <xf numFmtId="10" fontId="77" fillId="33" borderId="0" xfId="0" applyNumberFormat="1" applyFont="1" applyFill="1" applyBorder="1" applyAlignment="1">
      <alignment horizontal="center" vertical="center"/>
    </xf>
    <xf numFmtId="10" fontId="76" fillId="33" borderId="1" xfId="0" applyNumberFormat="1" applyFont="1" applyFill="1" applyBorder="1" applyAlignment="1">
      <alignment horizontal="center" vertical="center"/>
    </xf>
    <xf numFmtId="175" fontId="10" fillId="0" borderId="0" xfId="0" applyNumberFormat="1" applyFont="1"/>
    <xf numFmtId="175" fontId="20" fillId="0" borderId="0" xfId="0" applyNumberFormat="1" applyFont="1"/>
    <xf numFmtId="175" fontId="10" fillId="0" borderId="1" xfId="0" applyNumberFormat="1" applyFont="1" applyBorder="1"/>
    <xf numFmtId="177" fontId="10" fillId="0" borderId="0" xfId="0" applyNumberFormat="1" applyFont="1"/>
    <xf numFmtId="0" fontId="20" fillId="35" borderId="0" xfId="0" applyFont="1" applyFill="1" applyBorder="1" applyAlignment="1">
      <alignment horizontal="center" vertical="center"/>
    </xf>
    <xf numFmtId="165" fontId="76" fillId="33" borderId="0" xfId="0" applyNumberFormat="1" applyFont="1" applyFill="1" applyBorder="1" applyAlignment="1">
      <alignment horizontal="center" vertical="center"/>
    </xf>
    <xf numFmtId="165" fontId="76" fillId="33" borderId="1" xfId="0" applyNumberFormat="1" applyFont="1" applyFill="1" applyBorder="1" applyAlignment="1">
      <alignment horizontal="center" vertical="center"/>
    </xf>
    <xf numFmtId="0" fontId="57" fillId="38" borderId="0" xfId="0" quotePrefix="1" applyFont="1" applyFill="1" applyAlignment="1">
      <alignment horizontal="left"/>
    </xf>
    <xf numFmtId="0" fontId="21" fillId="35" borderId="0" xfId="0" applyFont="1" applyFill="1" applyAlignment="1">
      <alignment horizontal="center"/>
    </xf>
    <xf numFmtId="0" fontId="50" fillId="35" borderId="0" xfId="0" applyFont="1" applyFill="1" applyBorder="1" applyAlignment="1">
      <alignment horizontal="center" vertical="center"/>
    </xf>
    <xf numFmtId="9" fontId="19" fillId="33" borderId="0" xfId="1" applyFont="1" applyFill="1" applyBorder="1" applyAlignment="1">
      <alignment horizontal="center"/>
    </xf>
    <xf numFmtId="9" fontId="54" fillId="33" borderId="0" xfId="1" applyFont="1" applyFill="1" applyBorder="1" applyAlignment="1">
      <alignment horizontal="center"/>
    </xf>
    <xf numFmtId="9" fontId="16" fillId="0" borderId="0" xfId="1" applyFont="1" applyBorder="1" applyAlignment="1">
      <alignment horizontal="center" vertical="center"/>
    </xf>
    <xf numFmtId="9" fontId="78" fillId="0" borderId="0" xfId="1" applyFont="1"/>
    <xf numFmtId="164" fontId="16" fillId="0" borderId="5" xfId="2" applyNumberFormat="1" applyFont="1" applyBorder="1"/>
    <xf numFmtId="170" fontId="20" fillId="0" borderId="25" xfId="0" applyNumberFormat="1" applyFont="1" applyBorder="1" applyAlignment="1">
      <alignment horizontal="center"/>
    </xf>
    <xf numFmtId="170" fontId="20" fillId="0" borderId="0" xfId="0" applyNumberFormat="1" applyFont="1"/>
    <xf numFmtId="170" fontId="20" fillId="0" borderId="1" xfId="0" applyNumberFormat="1" applyFont="1" applyBorder="1"/>
    <xf numFmtId="0" fontId="20" fillId="33" borderId="26" xfId="0" quotePrefix="1" applyFont="1" applyFill="1" applyBorder="1" applyAlignment="1">
      <alignment horizontal="center"/>
    </xf>
    <xf numFmtId="0" fontId="11" fillId="33" borderId="0" xfId="0" applyFont="1" applyFill="1" applyBorder="1" applyAlignment="1">
      <alignment horizontal="center" vertical="center"/>
    </xf>
    <xf numFmtId="0" fontId="11" fillId="33" borderId="25" xfId="0" applyFont="1" applyFill="1" applyBorder="1" applyAlignment="1">
      <alignment vertical="center"/>
    </xf>
    <xf numFmtId="0" fontId="20" fillId="35" borderId="0" xfId="0" applyFont="1" applyFill="1" applyAlignment="1">
      <alignment horizontal="center" vertical="center"/>
    </xf>
    <xf numFmtId="0" fontId="45" fillId="38" borderId="0" xfId="0" applyFont="1" applyFill="1" applyAlignment="1">
      <alignment horizontal="center" vertical="center"/>
    </xf>
    <xf numFmtId="0" fontId="23" fillId="0" borderId="0" xfId="0" quotePrefix="1" applyFont="1" applyAlignment="1">
      <alignment horizontal="center" vertical="center"/>
    </xf>
    <xf numFmtId="0" fontId="23" fillId="0" borderId="0" xfId="0" applyFont="1" applyAlignment="1">
      <alignment horizontal="center" vertical="center"/>
    </xf>
    <xf numFmtId="0" fontId="45" fillId="38" borderId="0" xfId="0" applyFont="1" applyFill="1" applyAlignment="1">
      <alignment horizontal="center" vertical="center"/>
    </xf>
    <xf numFmtId="0" fontId="9" fillId="0" borderId="0" xfId="0" applyFont="1"/>
    <xf numFmtId="0" fontId="9" fillId="0" borderId="0" xfId="0" quotePrefix="1" applyFont="1" applyAlignment="1">
      <alignment horizontal="left"/>
    </xf>
    <xf numFmtId="0" fontId="9" fillId="0" borderId="0" xfId="0" quotePrefix="1" applyFont="1" applyAlignment="1">
      <alignment horizontal="left" indent="1"/>
    </xf>
    <xf numFmtId="0" fontId="20" fillId="0" borderId="0" xfId="0" applyFont="1" applyAlignment="1">
      <alignment horizontal="left" indent="1"/>
    </xf>
    <xf numFmtId="0" fontId="9" fillId="0" borderId="1" xfId="0" quotePrefix="1" applyFont="1" applyBorder="1" applyAlignment="1">
      <alignment horizontal="left" indent="1"/>
    </xf>
    <xf numFmtId="0" fontId="46" fillId="0" borderId="0" xfId="0" applyFont="1" applyAlignment="1">
      <alignment horizontal="center" vertical="center"/>
    </xf>
    <xf numFmtId="165" fontId="9" fillId="0" borderId="0" xfId="0" applyNumberFormat="1" applyFont="1" applyAlignment="1">
      <alignment horizontal="center"/>
    </xf>
    <xf numFmtId="165" fontId="9" fillId="0" borderId="1" xfId="0" applyNumberFormat="1" applyFont="1" applyBorder="1" applyAlignment="1">
      <alignment horizontal="center"/>
    </xf>
    <xf numFmtId="165" fontId="20" fillId="0" borderId="0" xfId="0" applyNumberFormat="1" applyFont="1" applyAlignment="1">
      <alignment horizontal="center"/>
    </xf>
    <xf numFmtId="0" fontId="20" fillId="0" borderId="0" xfId="0" applyFont="1" applyAlignment="1">
      <alignment horizontal="center" vertical="center" wrapText="1"/>
    </xf>
    <xf numFmtId="165" fontId="79" fillId="35" borderId="0" xfId="1" applyNumberFormat="1" applyFont="1" applyFill="1" applyBorder="1" applyAlignment="1">
      <alignment horizontal="center"/>
    </xf>
    <xf numFmtId="9" fontId="9" fillId="0" borderId="0" xfId="1" applyFont="1" applyAlignment="1">
      <alignment horizontal="center"/>
    </xf>
    <xf numFmtId="165" fontId="45" fillId="38" borderId="0" xfId="0" applyNumberFormat="1" applyFont="1" applyFill="1" applyAlignment="1">
      <alignment horizontal="center"/>
    </xf>
    <xf numFmtId="0" fontId="57" fillId="38" borderId="0" xfId="0" quotePrefix="1" applyFont="1" applyFill="1" applyAlignment="1">
      <alignment horizontal="left" vertical="center"/>
    </xf>
    <xf numFmtId="0" fontId="45" fillId="38" borderId="0" xfId="0" applyFont="1" applyFill="1" applyAlignment="1">
      <alignment horizontal="center"/>
    </xf>
    <xf numFmtId="165" fontId="81" fillId="0" borderId="0" xfId="41" applyNumberFormat="1" applyFont="1" applyFill="1" applyBorder="1" applyAlignment="1">
      <alignment horizontal="center"/>
    </xf>
    <xf numFmtId="0" fontId="45" fillId="38" borderId="0" xfId="0" quotePrefix="1" applyFont="1" applyFill="1" applyAlignment="1">
      <alignment horizontal="center"/>
    </xf>
    <xf numFmtId="0" fontId="0" fillId="0" borderId="34" xfId="0" applyBorder="1"/>
    <xf numFmtId="0" fontId="23" fillId="0" borderId="0" xfId="0" applyFont="1" applyAlignment="1">
      <alignment horizontal="center" vertical="center" wrapText="1"/>
    </xf>
    <xf numFmtId="0" fontId="23" fillId="0" borderId="0" xfId="0" quotePrefix="1" applyFont="1" applyAlignment="1">
      <alignment horizontal="center" vertical="center" wrapText="1"/>
    </xf>
    <xf numFmtId="178" fontId="45" fillId="38" borderId="0" xfId="0" applyNumberFormat="1" applyFont="1" applyFill="1" applyAlignment="1">
      <alignment horizontal="center"/>
    </xf>
    <xf numFmtId="165" fontId="45" fillId="38" borderId="0" xfId="1" applyNumberFormat="1" applyFont="1" applyFill="1" applyAlignment="1">
      <alignment horizontal="center"/>
    </xf>
    <xf numFmtId="165" fontId="20" fillId="0" borderId="0" xfId="1" applyNumberFormat="1" applyFont="1" applyAlignment="1">
      <alignment horizontal="center"/>
    </xf>
    <xf numFmtId="165" fontId="80" fillId="38" borderId="0" xfId="1" applyNumberFormat="1" applyFont="1" applyFill="1" applyBorder="1" applyAlignment="1">
      <alignment horizontal="center" vertical="center"/>
    </xf>
    <xf numFmtId="0" fontId="8" fillId="0" borderId="0" xfId="0" applyFont="1"/>
    <xf numFmtId="0" fontId="82" fillId="0" borderId="0" xfId="0" applyFont="1" applyAlignment="1">
      <alignment horizontal="center"/>
    </xf>
    <xf numFmtId="0" fontId="52" fillId="0" borderId="0" xfId="0" applyFont="1"/>
    <xf numFmtId="4" fontId="0" fillId="0" borderId="1" xfId="0" applyNumberFormat="1" applyBorder="1"/>
    <xf numFmtId="4" fontId="0" fillId="0" borderId="0" xfId="0" applyNumberFormat="1" applyBorder="1"/>
    <xf numFmtId="4" fontId="0" fillId="0" borderId="36" xfId="0" applyNumberFormat="1" applyBorder="1"/>
    <xf numFmtId="4" fontId="52" fillId="0" borderId="0" xfId="0" applyNumberFormat="1" applyFont="1"/>
    <xf numFmtId="4" fontId="41" fillId="0" borderId="0" xfId="0" applyNumberFormat="1" applyFont="1"/>
    <xf numFmtId="167" fontId="43" fillId="35" borderId="0" xfId="0" applyNumberFormat="1" applyFont="1" applyFill="1" applyAlignment="1">
      <alignment horizontal="right" vertical="top" wrapText="1"/>
    </xf>
    <xf numFmtId="166" fontId="43" fillId="35" borderId="0" xfId="63" applyNumberFormat="1" applyFont="1" applyFill="1" applyAlignment="1">
      <alignment horizontal="right" vertical="top" wrapText="1"/>
    </xf>
    <xf numFmtId="165" fontId="43" fillId="35" borderId="0" xfId="1" applyNumberFormat="1" applyFont="1" applyFill="1" applyAlignment="1">
      <alignment horizontal="right" vertical="top" wrapText="1"/>
    </xf>
    <xf numFmtId="173" fontId="7" fillId="0" borderId="0" xfId="0" applyNumberFormat="1" applyFont="1" applyAlignment="1">
      <alignment horizontal="center"/>
    </xf>
    <xf numFmtId="170" fontId="7" fillId="0" borderId="0" xfId="0" applyNumberFormat="1" applyFont="1" applyAlignment="1">
      <alignment horizontal="center"/>
    </xf>
    <xf numFmtId="164" fontId="16" fillId="35" borderId="1" xfId="2" applyNumberFormat="1" applyFont="1" applyFill="1" applyBorder="1"/>
    <xf numFmtId="43" fontId="19" fillId="0" borderId="0" xfId="2" applyNumberFormat="1" applyFont="1" applyBorder="1"/>
    <xf numFmtId="164" fontId="19" fillId="0" borderId="0" xfId="2" applyNumberFormat="1" applyFont="1" applyFill="1" applyBorder="1"/>
    <xf numFmtId="164" fontId="19" fillId="0" borderId="3" xfId="2" applyNumberFormat="1" applyFont="1" applyFill="1" applyBorder="1"/>
    <xf numFmtId="9" fontId="19" fillId="0" borderId="0" xfId="1" applyFont="1" applyFill="1" applyBorder="1" applyAlignment="1">
      <alignment horizontal="center"/>
    </xf>
    <xf numFmtId="9" fontId="19" fillId="0" borderId="3" xfId="1" applyFont="1" applyFill="1" applyBorder="1" applyAlignment="1">
      <alignment horizontal="center"/>
    </xf>
    <xf numFmtId="9" fontId="19" fillId="0" borderId="1" xfId="1" applyFont="1" applyFill="1" applyBorder="1" applyAlignment="1">
      <alignment horizontal="center"/>
    </xf>
    <xf numFmtId="9" fontId="19" fillId="0" borderId="4" xfId="1" applyFont="1" applyFill="1" applyBorder="1" applyAlignment="1">
      <alignment horizontal="center"/>
    </xf>
    <xf numFmtId="9" fontId="18" fillId="0" borderId="0" xfId="1" applyFont="1" applyFill="1" applyBorder="1" applyAlignment="1">
      <alignment horizontal="center"/>
    </xf>
    <xf numFmtId="9" fontId="18" fillId="0" borderId="3" xfId="1" applyFont="1" applyFill="1" applyBorder="1" applyAlignment="1">
      <alignment horizontal="center"/>
    </xf>
    <xf numFmtId="179" fontId="10" fillId="0" borderId="0" xfId="0" applyNumberFormat="1" applyFont="1"/>
    <xf numFmtId="164" fontId="56" fillId="33" borderId="0" xfId="2" applyNumberFormat="1" applyFont="1" applyFill="1" applyBorder="1"/>
    <xf numFmtId="0" fontId="6" fillId="0" borderId="0" xfId="0" quotePrefix="1" applyFont="1" applyAlignment="1">
      <alignment horizontal="left"/>
    </xf>
    <xf numFmtId="10" fontId="16" fillId="35" borderId="0" xfId="1" applyNumberFormat="1" applyFont="1" applyFill="1" applyBorder="1"/>
    <xf numFmtId="164" fontId="16" fillId="0" borderId="1" xfId="2" applyNumberFormat="1" applyFont="1" applyFill="1" applyBorder="1"/>
    <xf numFmtId="164" fontId="17" fillId="0" borderId="0" xfId="2" applyNumberFormat="1" applyFont="1" applyFill="1" applyBorder="1"/>
    <xf numFmtId="164" fontId="16" fillId="35" borderId="0" xfId="1" applyNumberFormat="1" applyFont="1" applyFill="1" applyBorder="1"/>
    <xf numFmtId="166" fontId="52" fillId="0" borderId="0" xfId="2" quotePrefix="1" applyNumberFormat="1" applyFont="1" applyBorder="1" applyAlignment="1">
      <alignment horizontal="left" vertical="center"/>
    </xf>
    <xf numFmtId="166" fontId="52" fillId="0" borderId="0" xfId="2" applyNumberFormat="1" applyFont="1" applyBorder="1" applyAlignment="1">
      <alignment horizontal="left" vertical="center"/>
    </xf>
    <xf numFmtId="166" fontId="44" fillId="0" borderId="0" xfId="2" applyNumberFormat="1" applyFont="1" applyBorder="1" applyAlignment="1">
      <alignment horizontal="left" vertical="center" indent="1"/>
    </xf>
    <xf numFmtId="0" fontId="6" fillId="0" borderId="0" xfId="0" quotePrefix="1" applyFont="1" applyFill="1" applyAlignment="1">
      <alignment horizontal="left"/>
    </xf>
    <xf numFmtId="0" fontId="0" fillId="0" borderId="0" xfId="0" applyFill="1"/>
    <xf numFmtId="178" fontId="9" fillId="0" borderId="34" xfId="0" applyNumberFormat="1" applyFont="1" applyFill="1" applyBorder="1" applyAlignment="1">
      <alignment horizontal="center"/>
    </xf>
    <xf numFmtId="165" fontId="9" fillId="0" borderId="34" xfId="1" applyNumberFormat="1" applyFont="1" applyFill="1" applyBorder="1" applyAlignment="1">
      <alignment horizontal="center"/>
    </xf>
    <xf numFmtId="165" fontId="9" fillId="0" borderId="34" xfId="0" applyNumberFormat="1" applyFont="1" applyFill="1" applyBorder="1" applyAlignment="1">
      <alignment horizontal="center"/>
    </xf>
    <xf numFmtId="43" fontId="12" fillId="0" borderId="0" xfId="63" applyFont="1"/>
    <xf numFmtId="43" fontId="12" fillId="0" borderId="0" xfId="0" applyNumberFormat="1" applyFont="1"/>
    <xf numFmtId="165" fontId="12" fillId="0" borderId="0" xfId="1" applyNumberFormat="1" applyFont="1"/>
    <xf numFmtId="10" fontId="61" fillId="0" borderId="29" xfId="0" applyNumberFormat="1" applyFont="1" applyBorder="1" applyAlignment="1">
      <alignment horizontal="center"/>
    </xf>
    <xf numFmtId="0" fontId="11" fillId="0" borderId="30" xfId="0" applyFont="1" applyBorder="1"/>
    <xf numFmtId="170" fontId="11" fillId="0" borderId="30" xfId="0" applyNumberFormat="1" applyFont="1" applyBorder="1" applyAlignment="1">
      <alignment horizontal="center"/>
    </xf>
    <xf numFmtId="175" fontId="11" fillId="0" borderId="30" xfId="0" applyNumberFormat="1" applyFont="1" applyBorder="1"/>
    <xf numFmtId="170" fontId="20" fillId="0" borderId="30" xfId="0" applyNumberFormat="1" applyFont="1" applyBorder="1"/>
    <xf numFmtId="175" fontId="11" fillId="0" borderId="30" xfId="0" applyNumberFormat="1" applyFont="1" applyBorder="1" applyAlignment="1"/>
    <xf numFmtId="170" fontId="20" fillId="0" borderId="31" xfId="0" applyNumberFormat="1" applyFont="1" applyBorder="1"/>
    <xf numFmtId="0" fontId="0" fillId="0" borderId="0" xfId="0" quotePrefix="1" applyAlignment="1">
      <alignment horizontal="left" indent="1"/>
    </xf>
    <xf numFmtId="164" fontId="16" fillId="35" borderId="4" xfId="2" applyNumberFormat="1" applyFont="1" applyFill="1" applyBorder="1"/>
    <xf numFmtId="164" fontId="56" fillId="35" borderId="1" xfId="2" applyNumberFormat="1" applyFont="1" applyFill="1" applyBorder="1"/>
    <xf numFmtId="173" fontId="20" fillId="0" borderId="0" xfId="0" applyNumberFormat="1" applyFont="1" applyAlignment="1">
      <alignment horizontal="center" vertical="center"/>
    </xf>
    <xf numFmtId="177" fontId="10" fillId="42" borderId="0" xfId="0" applyNumberFormat="1" applyFont="1" applyFill="1"/>
    <xf numFmtId="0" fontId="5" fillId="0" borderId="0" xfId="0" quotePrefix="1" applyFont="1" applyAlignment="1">
      <alignment horizontal="left"/>
    </xf>
    <xf numFmtId="171" fontId="11" fillId="0" borderId="0" xfId="0" applyNumberFormat="1" applyFont="1" applyAlignment="1">
      <alignment horizontal="center"/>
    </xf>
    <xf numFmtId="0" fontId="5" fillId="33" borderId="25" xfId="0" quotePrefix="1" applyFont="1" applyFill="1" applyBorder="1" applyAlignment="1">
      <alignment horizontal="center"/>
    </xf>
    <xf numFmtId="174" fontId="74" fillId="39" borderId="27" xfId="0" applyNumberFormat="1" applyFont="1" applyFill="1" applyBorder="1"/>
    <xf numFmtId="0" fontId="45" fillId="38" borderId="0" xfId="0" applyFont="1" applyFill="1" applyAlignment="1">
      <alignment horizontal="center" vertical="center"/>
    </xf>
    <xf numFmtId="0" fontId="23" fillId="0" borderId="0" xfId="0" applyFont="1" applyAlignment="1">
      <alignment horizontal="right"/>
    </xf>
    <xf numFmtId="0" fontId="11" fillId="33" borderId="25" xfId="0" applyFont="1" applyFill="1" applyBorder="1" applyAlignment="1">
      <alignment horizontal="center"/>
    </xf>
    <xf numFmtId="173" fontId="12" fillId="0" borderId="0" xfId="0" applyNumberFormat="1" applyFont="1" applyFill="1" applyAlignment="1">
      <alignment horizontal="center"/>
    </xf>
    <xf numFmtId="0" fontId="0" fillId="0" borderId="0" xfId="0" applyBorder="1" applyAlignment="1">
      <alignment horizontal="left" indent="1"/>
    </xf>
    <xf numFmtId="0" fontId="0" fillId="0" borderId="0" xfId="0" applyBorder="1"/>
    <xf numFmtId="0" fontId="0" fillId="0" borderId="0" xfId="0" applyBorder="1" applyAlignment="1">
      <alignment horizontal="right"/>
    </xf>
    <xf numFmtId="173" fontId="11" fillId="0" borderId="0" xfId="0" applyNumberFormat="1" applyFont="1" applyBorder="1" applyAlignment="1">
      <alignment horizontal="center"/>
    </xf>
    <xf numFmtId="170" fontId="0" fillId="0" borderId="0" xfId="0" applyNumberFormat="1" applyBorder="1" applyAlignment="1">
      <alignment horizontal="center"/>
    </xf>
    <xf numFmtId="173" fontId="11" fillId="0" borderId="31" xfId="0" applyNumberFormat="1" applyFont="1" applyFill="1" applyBorder="1" applyAlignment="1">
      <alignment horizontal="center"/>
    </xf>
    <xf numFmtId="9" fontId="0" fillId="0" borderId="30" xfId="0" applyNumberFormat="1" applyBorder="1" applyAlignment="1">
      <alignment horizontal="center"/>
    </xf>
    <xf numFmtId="9" fontId="46" fillId="36" borderId="1" xfId="0" applyNumberFormat="1" applyFont="1" applyFill="1" applyBorder="1" applyAlignment="1">
      <alignment horizontal="center"/>
    </xf>
    <xf numFmtId="0" fontId="4" fillId="0" borderId="0" xfId="0" applyFont="1"/>
    <xf numFmtId="170" fontId="20" fillId="0" borderId="30" xfId="0" applyNumberFormat="1" applyFont="1" applyBorder="1" applyAlignment="1">
      <alignment horizontal="center"/>
    </xf>
    <xf numFmtId="170" fontId="11" fillId="0" borderId="30" xfId="0" applyNumberFormat="1" applyFont="1" applyBorder="1"/>
    <xf numFmtId="170" fontId="11" fillId="0" borderId="31" xfId="0" applyNumberFormat="1" applyFont="1" applyBorder="1"/>
    <xf numFmtId="10" fontId="61" fillId="0" borderId="0" xfId="0" applyNumberFormat="1" applyFont="1" applyBorder="1" applyAlignment="1">
      <alignment horizontal="center"/>
    </xf>
    <xf numFmtId="0" fontId="11" fillId="0" borderId="0" xfId="0" applyFont="1" applyBorder="1"/>
    <xf numFmtId="170" fontId="20" fillId="0" borderId="0" xfId="0" applyNumberFormat="1" applyFont="1" applyBorder="1" applyAlignment="1">
      <alignment horizontal="center"/>
    </xf>
    <xf numFmtId="170" fontId="11" fillId="0" borderId="0" xfId="0" applyNumberFormat="1" applyFont="1" applyBorder="1"/>
    <xf numFmtId="10" fontId="4" fillId="0" borderId="0" xfId="0" quotePrefix="1" applyNumberFormat="1" applyFont="1" applyAlignment="1">
      <alignment horizontal="left"/>
    </xf>
    <xf numFmtId="0" fontId="20" fillId="0" borderId="0" xfId="0" applyFont="1" applyBorder="1"/>
    <xf numFmtId="170" fontId="20" fillId="0" borderId="0" xfId="0" applyNumberFormat="1" applyFont="1" applyBorder="1"/>
    <xf numFmtId="0" fontId="11" fillId="33" borderId="26" xfId="0" quotePrefix="1" applyFont="1" applyFill="1" applyBorder="1" applyAlignment="1">
      <alignment horizontal="left"/>
    </xf>
    <xf numFmtId="170" fontId="20" fillId="33" borderId="26" xfId="0" quotePrefix="1" applyNumberFormat="1" applyFont="1" applyFill="1" applyBorder="1" applyAlignment="1">
      <alignment horizontal="center"/>
    </xf>
    <xf numFmtId="170" fontId="11" fillId="0" borderId="0" xfId="0" applyNumberFormat="1" applyFont="1" applyBorder="1" applyAlignment="1">
      <alignment horizontal="center"/>
    </xf>
    <xf numFmtId="0" fontId="20" fillId="33" borderId="26" xfId="0" quotePrefix="1" applyFont="1" applyFill="1" applyBorder="1" applyAlignment="1">
      <alignment horizontal="left"/>
    </xf>
    <xf numFmtId="170" fontId="70" fillId="39" borderId="19" xfId="0" applyNumberFormat="1" applyFont="1" applyFill="1" applyBorder="1"/>
    <xf numFmtId="170" fontId="83" fillId="39" borderId="32" xfId="0" applyNumberFormat="1" applyFont="1" applyFill="1" applyBorder="1" applyAlignment="1">
      <alignment horizontal="center"/>
    </xf>
    <xf numFmtId="170" fontId="83" fillId="35" borderId="0" xfId="0" applyNumberFormat="1" applyFont="1" applyFill="1" applyBorder="1" applyAlignment="1">
      <alignment horizontal="center"/>
    </xf>
    <xf numFmtId="165" fontId="84" fillId="39" borderId="32" xfId="1" applyNumberFormat="1" applyFont="1" applyFill="1" applyBorder="1" applyAlignment="1">
      <alignment horizontal="center"/>
    </xf>
    <xf numFmtId="174" fontId="83" fillId="39" borderId="32" xfId="0" applyNumberFormat="1" applyFont="1" applyFill="1" applyBorder="1" applyAlignment="1">
      <alignment horizontal="center"/>
    </xf>
    <xf numFmtId="165" fontId="83" fillId="35" borderId="0" xfId="1" applyNumberFormat="1" applyFont="1" applyFill="1" applyBorder="1" applyAlignment="1">
      <alignment horizontal="center"/>
    </xf>
    <xf numFmtId="165" fontId="84" fillId="39" borderId="35" xfId="1" applyNumberFormat="1" applyFont="1" applyFill="1" applyBorder="1" applyAlignment="1">
      <alignment horizontal="center"/>
    </xf>
    <xf numFmtId="0" fontId="49" fillId="35" borderId="0" xfId="0" quotePrefix="1" applyFont="1" applyFill="1" applyAlignment="1">
      <alignment horizontal="left"/>
    </xf>
    <xf numFmtId="0" fontId="53" fillId="35" borderId="0" xfId="0" applyFont="1" applyFill="1" applyAlignment="1">
      <alignment vertical="top" wrapText="1"/>
    </xf>
    <xf numFmtId="0" fontId="58" fillId="35" borderId="0" xfId="0" applyFont="1" applyFill="1"/>
    <xf numFmtId="0" fontId="64" fillId="35" borderId="0" xfId="0" quotePrefix="1" applyFont="1" applyFill="1" applyAlignment="1">
      <alignment horizontal="center" vertical="center" wrapText="1"/>
    </xf>
    <xf numFmtId="9" fontId="19" fillId="35" borderId="0" xfId="1" applyFont="1" applyFill="1" applyBorder="1" applyAlignment="1">
      <alignment horizontal="center"/>
    </xf>
    <xf numFmtId="9" fontId="19" fillId="35" borderId="1" xfId="1" applyFont="1" applyFill="1" applyBorder="1" applyAlignment="1">
      <alignment horizontal="center"/>
    </xf>
    <xf numFmtId="9" fontId="18" fillId="35" borderId="0" xfId="1" applyFont="1" applyFill="1" applyBorder="1" applyAlignment="1">
      <alignment horizontal="center"/>
    </xf>
    <xf numFmtId="0" fontId="14" fillId="35" borderId="0" xfId="0" applyFont="1" applyFill="1"/>
    <xf numFmtId="166" fontId="19" fillId="0" borderId="0" xfId="2" applyNumberFormat="1" applyFont="1" applyBorder="1"/>
    <xf numFmtId="164" fontId="19" fillId="0" borderId="3" xfId="2" applyNumberFormat="1" applyFont="1" applyBorder="1"/>
    <xf numFmtId="164" fontId="19" fillId="35" borderId="0" xfId="2" applyNumberFormat="1" applyFont="1" applyFill="1" applyBorder="1"/>
    <xf numFmtId="0" fontId="3" fillId="0" borderId="0" xfId="0" applyFont="1"/>
    <xf numFmtId="0" fontId="2" fillId="0" borderId="0" xfId="0" quotePrefix="1" applyFont="1" applyAlignment="1">
      <alignment horizontal="left"/>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46" fillId="0" borderId="0" xfId="0" quotePrefix="1" applyFont="1" applyAlignment="1">
      <alignment horizontal="center"/>
    </xf>
    <xf numFmtId="165" fontId="0" fillId="0" borderId="0" xfId="1" applyNumberFormat="1" applyFont="1" applyBorder="1" applyAlignment="1">
      <alignment horizontal="center"/>
    </xf>
    <xf numFmtId="164" fontId="17" fillId="0" borderId="22" xfId="2" applyNumberFormat="1" applyFont="1" applyBorder="1"/>
    <xf numFmtId="164" fontId="17" fillId="0" borderId="23" xfId="2" applyNumberFormat="1" applyFont="1" applyBorder="1"/>
    <xf numFmtId="0" fontId="14" fillId="0" borderId="0" xfId="0" applyFont="1" applyBorder="1" applyAlignment="1">
      <alignment horizontal="left" indent="1"/>
    </xf>
    <xf numFmtId="0" fontId="59" fillId="38" borderId="0" xfId="0" applyFont="1" applyFill="1"/>
    <xf numFmtId="164" fontId="85" fillId="38" borderId="0" xfId="2" applyNumberFormat="1" applyFont="1" applyFill="1" applyBorder="1"/>
    <xf numFmtId="0" fontId="59" fillId="38" borderId="0" xfId="0" quotePrefix="1" applyFont="1" applyFill="1" applyAlignment="1">
      <alignment horizontal="left"/>
    </xf>
    <xf numFmtId="164" fontId="65" fillId="38" borderId="5" xfId="2" applyNumberFormat="1" applyFont="1" applyFill="1" applyBorder="1"/>
    <xf numFmtId="0" fontId="1" fillId="33" borderId="25" xfId="0" applyFont="1" applyFill="1" applyBorder="1"/>
    <xf numFmtId="0" fontId="0" fillId="0" borderId="0" xfId="0" quotePrefix="1" applyBorder="1" applyAlignment="1">
      <alignment horizontal="left" indent="1"/>
    </xf>
    <xf numFmtId="172" fontId="61" fillId="0" borderId="0" xfId="0" applyNumberFormat="1" applyFont="1" applyBorder="1" applyAlignment="1">
      <alignment horizontal="center"/>
    </xf>
    <xf numFmtId="165" fontId="61" fillId="0" borderId="0" xfId="0" applyNumberFormat="1" applyFont="1" applyBorder="1" applyAlignment="1">
      <alignment horizontal="center"/>
    </xf>
    <xf numFmtId="0" fontId="20" fillId="0" borderId="0" xfId="0" quotePrefix="1" applyFont="1" applyAlignment="1">
      <alignment horizontal="center"/>
    </xf>
    <xf numFmtId="0" fontId="1" fillId="33" borderId="25" xfId="0" quotePrefix="1" applyFont="1" applyFill="1" applyBorder="1" applyAlignment="1">
      <alignment horizontal="center"/>
    </xf>
    <xf numFmtId="170" fontId="0" fillId="0" borderId="0" xfId="0" applyNumberFormat="1" applyFill="1" applyBorder="1" applyAlignment="1">
      <alignment horizontal="center"/>
    </xf>
    <xf numFmtId="0" fontId="0" fillId="0" borderId="0" xfId="0" applyFill="1" applyBorder="1" applyAlignment="1">
      <alignment horizontal="left" indent="1"/>
    </xf>
    <xf numFmtId="10" fontId="80" fillId="38" borderId="0" xfId="1" applyNumberFormat="1" applyFont="1" applyFill="1" applyBorder="1" applyAlignment="1">
      <alignment horizontal="center" vertical="center"/>
    </xf>
    <xf numFmtId="10" fontId="1" fillId="0" borderId="0" xfId="0" quotePrefix="1" applyNumberFormat="1" applyFont="1" applyAlignment="1">
      <alignment horizontal="left"/>
    </xf>
    <xf numFmtId="0" fontId="52" fillId="0" borderId="0" xfId="0" quotePrefix="1" applyFont="1" applyAlignment="1">
      <alignment horizontal="left"/>
    </xf>
    <xf numFmtId="0" fontId="52" fillId="0" borderId="0" xfId="0" applyFont="1" applyAlignment="1">
      <alignment horizontal="left"/>
    </xf>
    <xf numFmtId="0" fontId="20" fillId="0" borderId="0" xfId="0" applyFont="1" applyAlignment="1">
      <alignment horizontal="center"/>
    </xf>
    <xf numFmtId="0" fontId="20" fillId="35" borderId="0" xfId="0" quotePrefix="1" applyFont="1" applyFill="1" applyAlignment="1">
      <alignment horizontal="center" vertical="center"/>
    </xf>
    <xf numFmtId="0" fontId="20" fillId="35" borderId="0" xfId="0" applyFont="1" applyFill="1" applyAlignment="1">
      <alignment horizontal="center" vertical="center"/>
    </xf>
    <xf numFmtId="0" fontId="45" fillId="38" borderId="24" xfId="0" applyFont="1" applyFill="1" applyBorder="1" applyAlignment="1">
      <alignment horizontal="center" vertical="center"/>
    </xf>
    <xf numFmtId="0" fontId="20" fillId="0" borderId="33" xfId="0" applyFont="1" applyBorder="1" applyAlignment="1">
      <alignment horizontal="center"/>
    </xf>
    <xf numFmtId="0" fontId="23" fillId="0" borderId="0" xfId="0" applyFont="1" applyAlignment="1">
      <alignment horizontal="center" vertical="center" wrapText="1"/>
    </xf>
    <xf numFmtId="0" fontId="45" fillId="38" borderId="0" xfId="0" applyFont="1" applyFill="1" applyAlignment="1">
      <alignment horizontal="center" vertical="center"/>
    </xf>
    <xf numFmtId="0" fontId="23" fillId="0" borderId="0" xfId="0" quotePrefix="1"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xf>
    <xf numFmtId="170" fontId="46" fillId="40" borderId="20" xfId="0" applyNumberFormat="1" applyFont="1" applyFill="1" applyBorder="1" applyAlignment="1">
      <alignment horizontal="center"/>
    </xf>
    <xf numFmtId="0" fontId="46" fillId="40" borderId="21" xfId="0" applyFont="1" applyFill="1" applyBorder="1" applyAlignment="1">
      <alignment horizontal="center"/>
    </xf>
    <xf numFmtId="0" fontId="11" fillId="33" borderId="0" xfId="0" applyFont="1" applyFill="1" applyBorder="1" applyAlignment="1">
      <alignment horizontal="center"/>
    </xf>
    <xf numFmtId="0" fontId="1" fillId="33" borderId="0" xfId="0" applyFont="1" applyFill="1" applyBorder="1" applyAlignment="1">
      <alignment horizontal="center" vertical="center"/>
    </xf>
    <xf numFmtId="0" fontId="4" fillId="33" borderId="25" xfId="0" applyFont="1" applyFill="1" applyBorder="1" applyAlignment="1">
      <alignment horizontal="center" vertical="center"/>
    </xf>
    <xf numFmtId="0" fontId="1" fillId="33" borderId="25" xfId="0" quotePrefix="1" applyFont="1" applyFill="1" applyBorder="1" applyAlignment="1">
      <alignment horizontal="center"/>
    </xf>
    <xf numFmtId="0" fontId="11" fillId="33" borderId="25" xfId="0" applyFont="1" applyFill="1" applyBorder="1" applyAlignment="1">
      <alignment horizontal="center"/>
    </xf>
    <xf numFmtId="0" fontId="46" fillId="36" borderId="1" xfId="0" quotePrefix="1" applyFont="1" applyFill="1" applyBorder="1" applyAlignment="1">
      <alignment horizontal="center"/>
    </xf>
    <xf numFmtId="0" fontId="23" fillId="35" borderId="0" xfId="0" applyFont="1" applyFill="1" applyAlignment="1">
      <alignment horizontal="center"/>
    </xf>
    <xf numFmtId="49" fontId="43" fillId="35" borderId="0" xfId="0" applyNumberFormat="1" applyFont="1" applyFill="1" applyAlignment="1">
      <alignment horizontal="right" vertical="top" wrapText="1"/>
    </xf>
    <xf numFmtId="49" fontId="43" fillId="35" borderId="0" xfId="0" quotePrefix="1" applyNumberFormat="1" applyFont="1" applyFill="1" applyAlignment="1">
      <alignment horizontal="right" vertical="top" wrapText="1"/>
    </xf>
    <xf numFmtId="49" fontId="57" fillId="38" borderId="16" xfId="0" applyNumberFormat="1" applyFont="1" applyFill="1" applyBorder="1" applyAlignment="1">
      <alignment horizontal="right" vertical="center" wrapText="1"/>
    </xf>
    <xf numFmtId="49" fontId="57" fillId="38" borderId="17" xfId="0" applyNumberFormat="1" applyFont="1" applyFill="1" applyBorder="1" applyAlignment="1">
      <alignment horizontal="right" vertical="center" wrapText="1"/>
    </xf>
    <xf numFmtId="0" fontId="11" fillId="33" borderId="1" xfId="0" applyFont="1" applyFill="1" applyBorder="1" applyAlignment="1">
      <alignment horizontal="center" vertical="center"/>
    </xf>
    <xf numFmtId="0" fontId="11" fillId="33" borderId="25" xfId="0" quotePrefix="1" applyFont="1" applyFill="1" applyBorder="1" applyAlignment="1">
      <alignment horizontal="center"/>
    </xf>
    <xf numFmtId="0" fontId="4" fillId="33" borderId="0" xfId="0" applyFont="1" applyFill="1" applyBorder="1" applyAlignment="1">
      <alignment horizontal="center" vertical="center"/>
    </xf>
    <xf numFmtId="0" fontId="23" fillId="0" borderId="0" xfId="0" quotePrefix="1" applyFont="1" applyAlignment="1">
      <alignment horizontal="left" vertical="center"/>
    </xf>
    <xf numFmtId="0" fontId="23" fillId="0" borderId="0" xfId="0" applyFont="1" applyAlignment="1">
      <alignment horizontal="left" vertical="center"/>
    </xf>
    <xf numFmtId="0" fontId="1" fillId="33" borderId="26" xfId="0" quotePrefix="1" applyFont="1" applyFill="1" applyBorder="1" applyAlignment="1">
      <alignment horizontal="center"/>
    </xf>
    <xf numFmtId="0" fontId="87" fillId="35" borderId="0" xfId="0" applyFont="1" applyFill="1" applyBorder="1"/>
    <xf numFmtId="0" fontId="45" fillId="35" borderId="0" xfId="0" applyFont="1" applyFill="1" applyBorder="1"/>
    <xf numFmtId="172" fontId="88" fillId="35" borderId="0" xfId="0" applyNumberFormat="1" applyFont="1" applyFill="1" applyBorder="1"/>
    <xf numFmtId="0" fontId="87" fillId="35" borderId="0" xfId="0" quotePrefix="1" applyFont="1" applyFill="1" applyBorder="1" applyAlignment="1">
      <alignment horizontal="center"/>
    </xf>
    <xf numFmtId="10" fontId="88" fillId="35" borderId="0" xfId="0" applyNumberFormat="1" applyFont="1" applyFill="1" applyBorder="1" applyAlignment="1">
      <alignment horizontal="center"/>
    </xf>
    <xf numFmtId="173" fontId="87" fillId="35" borderId="0" xfId="0" applyNumberFormat="1" applyFont="1" applyFill="1" applyBorder="1" applyAlignment="1">
      <alignment horizontal="center"/>
    </xf>
    <xf numFmtId="181" fontId="57" fillId="38" borderId="17" xfId="0" applyNumberFormat="1" applyFont="1" applyFill="1" applyBorder="1" applyAlignment="1">
      <alignment horizontal="right" vertical="center" wrapText="1"/>
    </xf>
    <xf numFmtId="184" fontId="12" fillId="0" borderId="0" xfId="0" applyNumberFormat="1" applyFont="1" applyAlignment="1">
      <alignment horizontal="center"/>
    </xf>
    <xf numFmtId="184" fontId="0" fillId="0" borderId="0" xfId="0" applyNumberFormat="1"/>
    <xf numFmtId="184" fontId="12" fillId="0" borderId="0" xfId="0" applyNumberFormat="1" applyFont="1" applyFill="1" applyAlignment="1">
      <alignment horizontal="center"/>
    </xf>
  </cellXfs>
  <cellStyles count="66">
    <cellStyle name="20% - Énfasis1 2" xfId="5" xr:uid="{00000000-0005-0000-0000-000000000000}"/>
    <cellStyle name="20% - Énfasis2 2" xfId="6" xr:uid="{00000000-0005-0000-0000-000001000000}"/>
    <cellStyle name="20% - Énfasis3 2" xfId="7" xr:uid="{00000000-0005-0000-0000-000002000000}"/>
    <cellStyle name="20% - Énfasis4 2" xfId="8" xr:uid="{00000000-0005-0000-0000-000003000000}"/>
    <cellStyle name="20% - Énfasis5 2" xfId="9" xr:uid="{00000000-0005-0000-0000-000004000000}"/>
    <cellStyle name="20% - Énfasis6 2" xfId="10" xr:uid="{00000000-0005-0000-0000-000005000000}"/>
    <cellStyle name="40% - Énfasis1 2" xfId="11" xr:uid="{00000000-0005-0000-0000-000006000000}"/>
    <cellStyle name="40% - Énfasis2 2" xfId="12" xr:uid="{00000000-0005-0000-0000-000007000000}"/>
    <cellStyle name="40% - Énfasis3 2" xfId="13" xr:uid="{00000000-0005-0000-0000-000008000000}"/>
    <cellStyle name="40% - Énfasis4 2" xfId="14" xr:uid="{00000000-0005-0000-0000-000009000000}"/>
    <cellStyle name="40% - Énfasis5 2" xfId="15" xr:uid="{00000000-0005-0000-0000-00000A000000}"/>
    <cellStyle name="40% - Énfasis6 2" xfId="16" xr:uid="{00000000-0005-0000-0000-00000B000000}"/>
    <cellStyle name="60% - Énfasis1 2" xfId="17" xr:uid="{00000000-0005-0000-0000-00000C000000}"/>
    <cellStyle name="60% - Énfasis2 2" xfId="18" xr:uid="{00000000-0005-0000-0000-00000D000000}"/>
    <cellStyle name="60% - Énfasis3 2" xfId="19" xr:uid="{00000000-0005-0000-0000-00000E000000}"/>
    <cellStyle name="60% - Énfasis4 2" xfId="20" xr:uid="{00000000-0005-0000-0000-00000F000000}"/>
    <cellStyle name="60% - Énfasis5 2" xfId="21" xr:uid="{00000000-0005-0000-0000-000010000000}"/>
    <cellStyle name="60% - Énfasis6 2" xfId="22" xr:uid="{00000000-0005-0000-0000-000011000000}"/>
    <cellStyle name="Buena 2" xfId="23" xr:uid="{00000000-0005-0000-0000-000012000000}"/>
    <cellStyle name="Cálculo 2" xfId="24" xr:uid="{00000000-0005-0000-0000-000013000000}"/>
    <cellStyle name="Celda de comprobación 2" xfId="25" xr:uid="{00000000-0005-0000-0000-000014000000}"/>
    <cellStyle name="Celda vinculada 2" xfId="26" xr:uid="{00000000-0005-0000-0000-000015000000}"/>
    <cellStyle name="ColumnHeaderNormal" xfId="65" xr:uid="{00000000-0005-0000-0000-000016000000}"/>
    <cellStyle name="Encabezado 4 2" xfId="27" xr:uid="{00000000-0005-0000-0000-000017000000}"/>
    <cellStyle name="Énfasis1 2" xfId="28" xr:uid="{00000000-0005-0000-0000-000018000000}"/>
    <cellStyle name="Énfasis2 2" xfId="29" xr:uid="{00000000-0005-0000-0000-000019000000}"/>
    <cellStyle name="Énfasis3 2" xfId="30" xr:uid="{00000000-0005-0000-0000-00001A000000}"/>
    <cellStyle name="Énfasis4 2" xfId="31" xr:uid="{00000000-0005-0000-0000-00001B000000}"/>
    <cellStyle name="Énfasis5 2" xfId="32" xr:uid="{00000000-0005-0000-0000-00001C000000}"/>
    <cellStyle name="Énfasis6 2" xfId="33" xr:uid="{00000000-0005-0000-0000-00001D000000}"/>
    <cellStyle name="Entrada 2" xfId="34" xr:uid="{00000000-0005-0000-0000-00001E000000}"/>
    <cellStyle name="Incorrecto 2" xfId="35" xr:uid="{00000000-0005-0000-0000-00001F000000}"/>
    <cellStyle name="Millares" xfId="63" builtinId="3"/>
    <cellStyle name="Millares 2" xfId="2" xr:uid="{00000000-0005-0000-0000-000021000000}"/>
    <cellStyle name="Millares 2 2" xfId="53" xr:uid="{00000000-0005-0000-0000-000022000000}"/>
    <cellStyle name="Millares 2 3" xfId="54" xr:uid="{00000000-0005-0000-0000-000023000000}"/>
    <cellStyle name="Millares 2 4" xfId="55" xr:uid="{00000000-0005-0000-0000-000024000000}"/>
    <cellStyle name="Millares 2 5" xfId="56" xr:uid="{00000000-0005-0000-0000-000025000000}"/>
    <cellStyle name="Millares 2 6" xfId="57" xr:uid="{00000000-0005-0000-0000-000026000000}"/>
    <cellStyle name="Millares 2 7" xfId="52" xr:uid="{00000000-0005-0000-0000-000027000000}"/>
    <cellStyle name="Millares 3" xfId="36" xr:uid="{00000000-0005-0000-0000-000028000000}"/>
    <cellStyle name="Moneda 2" xfId="38" xr:uid="{00000000-0005-0000-0000-000029000000}"/>
    <cellStyle name="Moneda 3" xfId="37" xr:uid="{00000000-0005-0000-0000-00002A000000}"/>
    <cellStyle name="Moneda 3 2" xfId="58" xr:uid="{00000000-0005-0000-0000-00002B000000}"/>
    <cellStyle name="Moneda 4" xfId="59" xr:uid="{00000000-0005-0000-0000-00002C000000}"/>
    <cellStyle name="Moneda 5" xfId="60" xr:uid="{00000000-0005-0000-0000-00002D000000}"/>
    <cellStyle name="Moneda 6" xfId="61" xr:uid="{00000000-0005-0000-0000-00002E000000}"/>
    <cellStyle name="Moneda 7" xfId="62" xr:uid="{00000000-0005-0000-0000-00002F000000}"/>
    <cellStyle name="Neutral 2" xfId="39" xr:uid="{00000000-0005-0000-0000-000030000000}"/>
    <cellStyle name="Normal" xfId="0" builtinId="0"/>
    <cellStyle name="Normal 2" xfId="50" xr:uid="{00000000-0005-0000-0000-000032000000}"/>
    <cellStyle name="Normal 3" xfId="51" xr:uid="{00000000-0005-0000-0000-000033000000}"/>
    <cellStyle name="Normal 4" xfId="4" xr:uid="{00000000-0005-0000-0000-000034000000}"/>
    <cellStyle name="Notas 2" xfId="40" xr:uid="{00000000-0005-0000-0000-000035000000}"/>
    <cellStyle name="Porcentaje" xfId="1" builtinId="5"/>
    <cellStyle name="Porcentaje 2" xfId="41" xr:uid="{00000000-0005-0000-0000-000037000000}"/>
    <cellStyle name="Porcentual 2" xfId="42" xr:uid="{00000000-0005-0000-0000-000038000000}"/>
    <cellStyle name="Salida 2" xfId="43" xr:uid="{00000000-0005-0000-0000-000039000000}"/>
    <cellStyle name="TextNormal" xfId="64" xr:uid="{00000000-0005-0000-0000-00003A000000}"/>
    <cellStyle name="Texto de advertencia 2" xfId="44" xr:uid="{00000000-0005-0000-0000-00003B000000}"/>
    <cellStyle name="Texto explicativo 2" xfId="45" xr:uid="{00000000-0005-0000-0000-00003C000000}"/>
    <cellStyle name="Título" xfId="3" builtinId="15" customBuiltin="1"/>
    <cellStyle name="Título 1 2" xfId="46" xr:uid="{00000000-0005-0000-0000-00003E000000}"/>
    <cellStyle name="Título 2 2" xfId="47" xr:uid="{00000000-0005-0000-0000-00003F000000}"/>
    <cellStyle name="Título 3 2" xfId="48" xr:uid="{00000000-0005-0000-0000-000040000000}"/>
    <cellStyle name="Total 2" xfId="49" xr:uid="{00000000-0005-0000-0000-00004100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Gráficas!$D$5</c:f>
              <c:strCache>
                <c:ptCount val="1"/>
                <c:pt idx="0">
                  <c:v>2010</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Gráficas!$C$6:$C$7</c:f>
              <c:strCache>
                <c:ptCount val="2"/>
                <c:pt idx="0">
                  <c:v>Lubricantes</c:v>
                </c:pt>
                <c:pt idx="1">
                  <c:v>Proceso</c:v>
                </c:pt>
              </c:strCache>
            </c:strRef>
          </c:cat>
          <c:val>
            <c:numRef>
              <c:f>Gráficas!$D$6:$D$7</c:f>
              <c:numCache>
                <c:formatCode>#,##0_);\(#,##0\);\–_);"–"_)</c:formatCode>
                <c:ptCount val="2"/>
                <c:pt idx="0">
                  <c:v>13182.138212699998</c:v>
                </c:pt>
                <c:pt idx="1">
                  <c:v>88492.040629799987</c:v>
                </c:pt>
              </c:numCache>
            </c:numRef>
          </c:val>
          <c:extLst>
            <c:ext xmlns:c16="http://schemas.microsoft.com/office/drawing/2014/chart" uri="{C3380CC4-5D6E-409C-BE32-E72D297353CC}">
              <c16:uniqueId val="{00000000-F2EC-469E-81C3-D3BE2A0531D0}"/>
            </c:ext>
          </c:extLst>
        </c:ser>
        <c:ser>
          <c:idx val="1"/>
          <c:order val="1"/>
          <c:tx>
            <c:strRef>
              <c:f>Gráficas!$E$5</c:f>
              <c:strCache>
                <c:ptCount val="1"/>
                <c:pt idx="0">
                  <c:v>2011</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trendline>
            <c:spPr>
              <a:ln w="19050" cap="rnd">
                <a:solidFill>
                  <a:schemeClr val="accent2"/>
                </a:solidFill>
              </a:ln>
              <a:effectLst/>
            </c:spPr>
            <c:trendlineType val="movingAvg"/>
            <c:period val="2"/>
            <c:dispRSqr val="0"/>
            <c:dispEq val="0"/>
          </c:trendline>
          <c:trendline>
            <c:spPr>
              <a:ln w="19050" cap="rnd">
                <a:solidFill>
                  <a:schemeClr val="accent2"/>
                </a:solidFill>
              </a:ln>
              <a:effectLst/>
            </c:spPr>
            <c:trendlineType val="linear"/>
            <c:dispRSqr val="0"/>
            <c:dispEq val="0"/>
          </c:trendline>
          <c:cat>
            <c:strRef>
              <c:f>Gráficas!$C$6:$C$7</c:f>
              <c:strCache>
                <c:ptCount val="2"/>
                <c:pt idx="0">
                  <c:v>Lubricantes</c:v>
                </c:pt>
                <c:pt idx="1">
                  <c:v>Proceso</c:v>
                </c:pt>
              </c:strCache>
            </c:strRef>
          </c:cat>
          <c:val>
            <c:numRef>
              <c:f>Gráficas!$E$6:$E$7</c:f>
              <c:numCache>
                <c:formatCode>#,##0_);\(#,##0\);\–_);"–"_)</c:formatCode>
                <c:ptCount val="2"/>
                <c:pt idx="0">
                  <c:v>12809.798698099998</c:v>
                </c:pt>
                <c:pt idx="1">
                  <c:v>114977.60085520004</c:v>
                </c:pt>
              </c:numCache>
            </c:numRef>
          </c:val>
          <c:extLst>
            <c:ext xmlns:c16="http://schemas.microsoft.com/office/drawing/2014/chart" uri="{C3380CC4-5D6E-409C-BE32-E72D297353CC}">
              <c16:uniqueId val="{00000003-F2EC-469E-81C3-D3BE2A0531D0}"/>
            </c:ext>
          </c:extLst>
        </c:ser>
        <c:ser>
          <c:idx val="2"/>
          <c:order val="2"/>
          <c:tx>
            <c:strRef>
              <c:f>Gráficas!$F$5</c:f>
              <c:strCache>
                <c:ptCount val="1"/>
                <c:pt idx="0">
                  <c:v>2012</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Gráficas!$C$6:$C$7</c:f>
              <c:strCache>
                <c:ptCount val="2"/>
                <c:pt idx="0">
                  <c:v>Lubricantes</c:v>
                </c:pt>
                <c:pt idx="1">
                  <c:v>Proceso</c:v>
                </c:pt>
              </c:strCache>
            </c:strRef>
          </c:cat>
          <c:val>
            <c:numRef>
              <c:f>Gráficas!$F$6:$F$7</c:f>
              <c:numCache>
                <c:formatCode>#,##0_);\(#,##0\);\–_);"–"_)</c:formatCode>
                <c:ptCount val="2"/>
                <c:pt idx="0">
                  <c:v>11863.2963944</c:v>
                </c:pt>
                <c:pt idx="1">
                  <c:v>102357.46026239997</c:v>
                </c:pt>
              </c:numCache>
            </c:numRef>
          </c:val>
          <c:extLst>
            <c:ext xmlns:c16="http://schemas.microsoft.com/office/drawing/2014/chart" uri="{C3380CC4-5D6E-409C-BE32-E72D297353CC}">
              <c16:uniqueId val="{00000004-F2EC-469E-81C3-D3BE2A0531D0}"/>
            </c:ext>
          </c:extLst>
        </c:ser>
        <c:ser>
          <c:idx val="3"/>
          <c:order val="3"/>
          <c:tx>
            <c:strRef>
              <c:f>Gráficas!$G$5</c:f>
              <c:strCache>
                <c:ptCount val="1"/>
                <c:pt idx="0">
                  <c:v>2013</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Gráficas!$C$6:$C$7</c:f>
              <c:strCache>
                <c:ptCount val="2"/>
                <c:pt idx="0">
                  <c:v>Lubricantes</c:v>
                </c:pt>
                <c:pt idx="1">
                  <c:v>Proceso</c:v>
                </c:pt>
              </c:strCache>
            </c:strRef>
          </c:cat>
          <c:val>
            <c:numRef>
              <c:f>Gráficas!$G$6:$G$7</c:f>
              <c:numCache>
                <c:formatCode>#,##0_);\(#,##0\);\–_);"–"_)</c:formatCode>
                <c:ptCount val="2"/>
                <c:pt idx="0">
                  <c:v>13076.885298800004</c:v>
                </c:pt>
                <c:pt idx="1">
                  <c:v>90436.328959499966</c:v>
                </c:pt>
              </c:numCache>
            </c:numRef>
          </c:val>
          <c:extLst>
            <c:ext xmlns:c16="http://schemas.microsoft.com/office/drawing/2014/chart" uri="{C3380CC4-5D6E-409C-BE32-E72D297353CC}">
              <c16:uniqueId val="{00000005-F2EC-469E-81C3-D3BE2A0531D0}"/>
            </c:ext>
          </c:extLst>
        </c:ser>
        <c:ser>
          <c:idx val="4"/>
          <c:order val="4"/>
          <c:tx>
            <c:strRef>
              <c:f>Gráficas!$H$5</c:f>
              <c:strCache>
                <c:ptCount val="1"/>
                <c:pt idx="0">
                  <c:v>2014 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Gráficas!$C$6:$C$7</c:f>
              <c:strCache>
                <c:ptCount val="2"/>
                <c:pt idx="0">
                  <c:v>Lubricantes</c:v>
                </c:pt>
                <c:pt idx="1">
                  <c:v>Proceso</c:v>
                </c:pt>
              </c:strCache>
            </c:strRef>
          </c:cat>
          <c:val>
            <c:numRef>
              <c:f>Gráficas!$H$6:$H$7</c:f>
              <c:numCache>
                <c:formatCode>#,##0_);\(#,##0\);\–_);"–"_)</c:formatCode>
                <c:ptCount val="2"/>
                <c:pt idx="0">
                  <c:v>17317.596718133333</c:v>
                </c:pt>
                <c:pt idx="1">
                  <c:v>88561.088329066668</c:v>
                </c:pt>
              </c:numCache>
            </c:numRef>
          </c:val>
          <c:extLst>
            <c:ext xmlns:c16="http://schemas.microsoft.com/office/drawing/2014/chart" uri="{C3380CC4-5D6E-409C-BE32-E72D297353CC}">
              <c16:uniqueId val="{00000006-F2EC-469E-81C3-D3BE2A0531D0}"/>
            </c:ext>
          </c:extLst>
        </c:ser>
        <c:dLbls>
          <c:showLegendKey val="0"/>
          <c:showVal val="0"/>
          <c:showCatName val="0"/>
          <c:showSerName val="0"/>
          <c:showPercent val="0"/>
          <c:showBubbleSize val="0"/>
        </c:dLbls>
        <c:gapWidth val="100"/>
        <c:overlap val="-24"/>
        <c:axId val="35320192"/>
        <c:axId val="35321728"/>
      </c:barChart>
      <c:catAx>
        <c:axId val="353201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35321728"/>
        <c:crosses val="autoZero"/>
        <c:auto val="1"/>
        <c:lblAlgn val="ctr"/>
        <c:lblOffset val="100"/>
        <c:noMultiLvlLbl val="0"/>
      </c:catAx>
      <c:valAx>
        <c:axId val="35321728"/>
        <c:scaling>
          <c:orientation val="minMax"/>
        </c:scaling>
        <c:delete val="0"/>
        <c:axPos val="l"/>
        <c:majorGridlines>
          <c:spPr>
            <a:ln w="9525" cap="flat" cmpd="sng" algn="ctr">
              <a:solidFill>
                <a:schemeClr val="lt1">
                  <a:lumMod val="95000"/>
                  <a:alpha val="10000"/>
                </a:schemeClr>
              </a:solidFill>
              <a:round/>
            </a:ln>
            <a:effectLst/>
          </c:spPr>
        </c:majorGridlines>
        <c:numFmt formatCode="#,##0_);\(#,##0\);\–_);&quot;–&quot;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3532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Gráficas!$C$49</c:f>
              <c:strCache>
                <c:ptCount val="1"/>
                <c:pt idx="0">
                  <c:v>Ventas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Gráficas!$D$48:$H$48</c:f>
              <c:strCache>
                <c:ptCount val="5"/>
                <c:pt idx="0">
                  <c:v>2010</c:v>
                </c:pt>
                <c:pt idx="1">
                  <c:v>2011</c:v>
                </c:pt>
                <c:pt idx="2">
                  <c:v>2012</c:v>
                </c:pt>
                <c:pt idx="3">
                  <c:v>2013</c:v>
                </c:pt>
                <c:pt idx="4">
                  <c:v>2014 E</c:v>
                </c:pt>
              </c:strCache>
            </c:strRef>
          </c:cat>
          <c:val>
            <c:numRef>
              <c:f>Gráficas!$D$49:$H$49</c:f>
              <c:numCache>
                <c:formatCode>#,##0_);\(#,##0\);\–_);"–"_)</c:formatCode>
                <c:ptCount val="5"/>
                <c:pt idx="0">
                  <c:v>103488.32799999999</c:v>
                </c:pt>
                <c:pt idx="1">
                  <c:v>131159.476</c:v>
                </c:pt>
                <c:pt idx="2">
                  <c:v>114796.717</c:v>
                </c:pt>
                <c:pt idx="3">
                  <c:v>104171.929</c:v>
                </c:pt>
                <c:pt idx="4">
                  <c:v>106578.20739386669</c:v>
                </c:pt>
              </c:numCache>
            </c:numRef>
          </c:val>
          <c:extLst>
            <c:ext xmlns:c16="http://schemas.microsoft.com/office/drawing/2014/chart" uri="{C3380CC4-5D6E-409C-BE32-E72D297353CC}">
              <c16:uniqueId val="{00000001-5AB1-4A05-83BD-B134C9FC6FBB}"/>
            </c:ext>
          </c:extLst>
        </c:ser>
        <c:dLbls>
          <c:dLblPos val="inEnd"/>
          <c:showLegendKey val="0"/>
          <c:showVal val="1"/>
          <c:showCatName val="0"/>
          <c:showSerName val="0"/>
          <c:showPercent val="0"/>
          <c:showBubbleSize val="0"/>
        </c:dLbls>
        <c:gapWidth val="41"/>
        <c:axId val="85842944"/>
        <c:axId val="35996416"/>
      </c:barChart>
      <c:catAx>
        <c:axId val="85842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5996416"/>
        <c:crosses val="autoZero"/>
        <c:auto val="1"/>
        <c:lblAlgn val="ctr"/>
        <c:lblOffset val="100"/>
        <c:noMultiLvlLbl val="0"/>
      </c:catAx>
      <c:valAx>
        <c:axId val="35996416"/>
        <c:scaling>
          <c:orientation val="minMax"/>
        </c:scaling>
        <c:delete val="1"/>
        <c:axPos val="l"/>
        <c:numFmt formatCode="#,##0_);\(#,##0\);\–_);&quot;–&quot;_)" sourceLinked="1"/>
        <c:majorTickMark val="none"/>
        <c:minorTickMark val="none"/>
        <c:tickLblPos val="nextTo"/>
        <c:crossAx val="85842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Gráficas!$C$50</c:f>
              <c:strCache>
                <c:ptCount val="1"/>
                <c:pt idx="0">
                  <c:v>Costo de Ventas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Gráficas!$D$48:$H$48</c:f>
              <c:strCache>
                <c:ptCount val="5"/>
                <c:pt idx="0">
                  <c:v>2010</c:v>
                </c:pt>
                <c:pt idx="1">
                  <c:v>2011</c:v>
                </c:pt>
                <c:pt idx="2">
                  <c:v>2012</c:v>
                </c:pt>
                <c:pt idx="3">
                  <c:v>2013</c:v>
                </c:pt>
                <c:pt idx="4">
                  <c:v>2014 E</c:v>
                </c:pt>
              </c:strCache>
            </c:strRef>
          </c:cat>
          <c:val>
            <c:numRef>
              <c:f>Gráficas!$D$50:$H$50</c:f>
              <c:numCache>
                <c:formatCode>#,##0_);\(#,##0\);\–_);"–"_)</c:formatCode>
                <c:ptCount val="5"/>
                <c:pt idx="0">
                  <c:v>88797.001000000004</c:v>
                </c:pt>
                <c:pt idx="1">
                  <c:v>111018.454</c:v>
                </c:pt>
                <c:pt idx="2">
                  <c:v>99678.944000000003</c:v>
                </c:pt>
                <c:pt idx="3">
                  <c:v>92240.869000000006</c:v>
                </c:pt>
                <c:pt idx="4">
                  <c:v>95246.17467457481</c:v>
                </c:pt>
              </c:numCache>
            </c:numRef>
          </c:val>
          <c:extLst>
            <c:ext xmlns:c16="http://schemas.microsoft.com/office/drawing/2014/chart" uri="{C3380CC4-5D6E-409C-BE32-E72D297353CC}">
              <c16:uniqueId val="{00000001-D4DC-49EE-8B76-485727910FBA}"/>
            </c:ext>
          </c:extLst>
        </c:ser>
        <c:dLbls>
          <c:dLblPos val="inEnd"/>
          <c:showLegendKey val="0"/>
          <c:showVal val="1"/>
          <c:showCatName val="0"/>
          <c:showSerName val="0"/>
          <c:showPercent val="0"/>
          <c:showBubbleSize val="0"/>
        </c:dLbls>
        <c:gapWidth val="41"/>
        <c:axId val="36026240"/>
        <c:axId val="36027776"/>
      </c:barChart>
      <c:catAx>
        <c:axId val="36026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6027776"/>
        <c:crosses val="autoZero"/>
        <c:auto val="1"/>
        <c:lblAlgn val="ctr"/>
        <c:lblOffset val="100"/>
        <c:noMultiLvlLbl val="0"/>
      </c:catAx>
      <c:valAx>
        <c:axId val="36027776"/>
        <c:scaling>
          <c:orientation val="minMax"/>
        </c:scaling>
        <c:delete val="1"/>
        <c:axPos val="l"/>
        <c:numFmt formatCode="#,##0_);\(#,##0\);\–_);&quot;–&quot;_)" sourceLinked="1"/>
        <c:majorTickMark val="none"/>
        <c:minorTickMark val="none"/>
        <c:tickLblPos val="nextTo"/>
        <c:crossAx val="36026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Gráficas!$C$51</c:f>
              <c:strCache>
                <c:ptCount val="1"/>
                <c:pt idx="0">
                  <c:v>Gastos de Operación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Gráficas!$D$48:$H$48</c:f>
              <c:strCache>
                <c:ptCount val="5"/>
                <c:pt idx="0">
                  <c:v>2010</c:v>
                </c:pt>
                <c:pt idx="1">
                  <c:v>2011</c:v>
                </c:pt>
                <c:pt idx="2">
                  <c:v>2012</c:v>
                </c:pt>
                <c:pt idx="3">
                  <c:v>2013</c:v>
                </c:pt>
                <c:pt idx="4">
                  <c:v>2014 E</c:v>
                </c:pt>
              </c:strCache>
            </c:strRef>
          </c:cat>
          <c:val>
            <c:numRef>
              <c:f>Gráficas!$D$51:$H$51</c:f>
              <c:numCache>
                <c:formatCode>#,##0_);\(#,##0\);\–_);"–"_)</c:formatCode>
                <c:ptCount val="5"/>
                <c:pt idx="0">
                  <c:v>13339.17</c:v>
                </c:pt>
                <c:pt idx="1">
                  <c:v>15181.037</c:v>
                </c:pt>
                <c:pt idx="2">
                  <c:v>13708.769</c:v>
                </c:pt>
                <c:pt idx="3">
                  <c:v>13681.503000000001</c:v>
                </c:pt>
                <c:pt idx="4">
                  <c:v>12308.507106666668</c:v>
                </c:pt>
              </c:numCache>
            </c:numRef>
          </c:val>
          <c:extLst>
            <c:ext xmlns:c16="http://schemas.microsoft.com/office/drawing/2014/chart" uri="{C3380CC4-5D6E-409C-BE32-E72D297353CC}">
              <c16:uniqueId val="{00000001-5250-4179-B228-49D96E96BCFA}"/>
            </c:ext>
          </c:extLst>
        </c:ser>
        <c:dLbls>
          <c:dLblPos val="inEnd"/>
          <c:showLegendKey val="0"/>
          <c:showVal val="1"/>
          <c:showCatName val="0"/>
          <c:showSerName val="0"/>
          <c:showPercent val="0"/>
          <c:showBubbleSize val="0"/>
        </c:dLbls>
        <c:gapWidth val="41"/>
        <c:axId val="35746560"/>
        <c:axId val="35748096"/>
      </c:barChart>
      <c:catAx>
        <c:axId val="35746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5748096"/>
        <c:crosses val="autoZero"/>
        <c:auto val="1"/>
        <c:lblAlgn val="ctr"/>
        <c:lblOffset val="100"/>
        <c:noMultiLvlLbl val="0"/>
      </c:catAx>
      <c:valAx>
        <c:axId val="35748096"/>
        <c:scaling>
          <c:orientation val="minMax"/>
        </c:scaling>
        <c:delete val="1"/>
        <c:axPos val="l"/>
        <c:numFmt formatCode="#,##0_);\(#,##0\);\–_);&quot;–&quot;_)" sourceLinked="1"/>
        <c:majorTickMark val="none"/>
        <c:minorTickMark val="none"/>
        <c:tickLblPos val="nextTo"/>
        <c:crossAx val="357465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Gráficas!$C$52</c:f>
              <c:strCache>
                <c:ptCount val="1"/>
                <c:pt idx="0">
                  <c:v>Utilidad operación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3"/>
              <c:layout>
                <c:manualLayout>
                  <c:x val="0"/>
                  <c:y val="2.4097769028871389E-2"/>
                </c:manualLayout>
              </c:layout>
              <c:tx>
                <c:rich>
                  <a:bodyPr/>
                  <a:lstStyle/>
                  <a:p>
                    <a:fld id="{300E66B4-039C-43BB-B239-1D39B3EADA4C}" type="VALUE">
                      <a:rPr lang="en-US" baseline="0">
                        <a:solidFill>
                          <a:schemeClr val="tx1"/>
                        </a:solidFill>
                      </a:rPr>
                      <a:pPr/>
                      <a:t>[VALOR]</a:t>
                    </a:fld>
                    <a:endParaRPr lang="es-MX"/>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F2A-4366-9C9A-0CCEB8A65C64}"/>
                </c:ext>
              </c:extLst>
            </c:dLbl>
            <c:dLbl>
              <c:idx val="4"/>
              <c:layout>
                <c:manualLayout>
                  <c:x val="2.777777777777676E-3"/>
                  <c:y val="0.15373067949839603"/>
                </c:manualLayout>
              </c:layout>
              <c:tx>
                <c:rich>
                  <a:bodyPr/>
                  <a:lstStyle/>
                  <a:p>
                    <a:fld id="{849E21F8-2923-445A-8A41-6F8DB209CE96}" type="VALUE">
                      <a:rPr lang="en-US" baseline="0">
                        <a:solidFill>
                          <a:schemeClr val="tx1"/>
                        </a:solidFill>
                      </a:rPr>
                      <a:pPr/>
                      <a:t>[VALOR]</a:t>
                    </a:fld>
                    <a:endParaRPr lang="es-MX"/>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F2A-4366-9C9A-0CCEB8A65C6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Gráficas!$D$48:$H$48</c:f>
              <c:strCache>
                <c:ptCount val="5"/>
                <c:pt idx="0">
                  <c:v>2010</c:v>
                </c:pt>
                <c:pt idx="1">
                  <c:v>2011</c:v>
                </c:pt>
                <c:pt idx="2">
                  <c:v>2012</c:v>
                </c:pt>
                <c:pt idx="3">
                  <c:v>2013</c:v>
                </c:pt>
                <c:pt idx="4">
                  <c:v>2014 E</c:v>
                </c:pt>
              </c:strCache>
            </c:strRef>
          </c:cat>
          <c:val>
            <c:numRef>
              <c:f>Gráficas!$D$52:$H$52</c:f>
              <c:numCache>
                <c:formatCode>#,##0_);\(#,##0\);\–_);"–"_)</c:formatCode>
                <c:ptCount val="5"/>
                <c:pt idx="0">
                  <c:v>1352.1569999999974</c:v>
                </c:pt>
                <c:pt idx="1">
                  <c:v>4959.9850000000115</c:v>
                </c:pt>
                <c:pt idx="2">
                  <c:v>1409.0039999999935</c:v>
                </c:pt>
                <c:pt idx="3">
                  <c:v>-1750.4429999999993</c:v>
                </c:pt>
                <c:pt idx="4">
                  <c:v>-976.47438737479024</c:v>
                </c:pt>
              </c:numCache>
            </c:numRef>
          </c:val>
          <c:extLst>
            <c:ext xmlns:c16="http://schemas.microsoft.com/office/drawing/2014/chart" uri="{C3380CC4-5D6E-409C-BE32-E72D297353CC}">
              <c16:uniqueId val="{00000003-EF2A-4366-9C9A-0CCEB8A65C64}"/>
            </c:ext>
          </c:extLst>
        </c:ser>
        <c:dLbls>
          <c:dLblPos val="inEnd"/>
          <c:showLegendKey val="0"/>
          <c:showVal val="1"/>
          <c:showCatName val="0"/>
          <c:showSerName val="0"/>
          <c:showPercent val="0"/>
          <c:showBubbleSize val="0"/>
        </c:dLbls>
        <c:gapWidth val="41"/>
        <c:axId val="35860864"/>
        <c:axId val="35862400"/>
      </c:barChart>
      <c:catAx>
        <c:axId val="35860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5862400"/>
        <c:crosses val="autoZero"/>
        <c:auto val="1"/>
        <c:lblAlgn val="ctr"/>
        <c:lblOffset val="100"/>
        <c:noMultiLvlLbl val="0"/>
      </c:catAx>
      <c:valAx>
        <c:axId val="35862400"/>
        <c:scaling>
          <c:orientation val="minMax"/>
        </c:scaling>
        <c:delete val="1"/>
        <c:axPos val="l"/>
        <c:numFmt formatCode="#,##0_);\(#,##0\);\–_);&quot;–&quot;_)" sourceLinked="1"/>
        <c:majorTickMark val="none"/>
        <c:minorTickMark val="none"/>
        <c:tickLblPos val="nextTo"/>
        <c:crossAx val="358608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Gráficas!$C$104</c:f>
              <c:strCache>
                <c:ptCount val="1"/>
                <c:pt idx="0">
                  <c:v>Ventas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Gráficas!$D$103:$H$103</c:f>
              <c:strCache>
                <c:ptCount val="5"/>
                <c:pt idx="0">
                  <c:v>2015 E</c:v>
                </c:pt>
                <c:pt idx="1">
                  <c:v>2016 E</c:v>
                </c:pt>
                <c:pt idx="2">
                  <c:v>2017 E</c:v>
                </c:pt>
                <c:pt idx="3">
                  <c:v>2018 E</c:v>
                </c:pt>
                <c:pt idx="4">
                  <c:v>2019 E</c:v>
                </c:pt>
              </c:strCache>
            </c:strRef>
          </c:cat>
          <c:val>
            <c:numRef>
              <c:f>Gráficas!$D$104:$H$104</c:f>
              <c:numCache>
                <c:formatCode>#,##0_);\(#,##0\);\–_);"–"_)</c:formatCode>
                <c:ptCount val="5"/>
                <c:pt idx="0">
                  <c:v>112038.49913546669</c:v>
                </c:pt>
                <c:pt idx="1">
                  <c:v>122907.78410174666</c:v>
                </c:pt>
                <c:pt idx="2">
                  <c:v>135201.64784282877</c:v>
                </c:pt>
                <c:pt idx="3">
                  <c:v>149167.47598917593</c:v>
                </c:pt>
                <c:pt idx="4">
                  <c:v>165102.97643140313</c:v>
                </c:pt>
              </c:numCache>
            </c:numRef>
          </c:val>
          <c:extLst>
            <c:ext xmlns:c16="http://schemas.microsoft.com/office/drawing/2014/chart" uri="{C3380CC4-5D6E-409C-BE32-E72D297353CC}">
              <c16:uniqueId val="{00000001-C640-4D94-91BA-AF2F980346C9}"/>
            </c:ext>
          </c:extLst>
        </c:ser>
        <c:dLbls>
          <c:dLblPos val="inEnd"/>
          <c:showLegendKey val="0"/>
          <c:showVal val="1"/>
          <c:showCatName val="0"/>
          <c:showSerName val="0"/>
          <c:showPercent val="0"/>
          <c:showBubbleSize val="0"/>
        </c:dLbls>
        <c:gapWidth val="41"/>
        <c:axId val="35898496"/>
        <c:axId val="35900032"/>
      </c:barChart>
      <c:catAx>
        <c:axId val="35898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5900032"/>
        <c:crosses val="autoZero"/>
        <c:auto val="1"/>
        <c:lblAlgn val="ctr"/>
        <c:lblOffset val="100"/>
        <c:noMultiLvlLbl val="0"/>
      </c:catAx>
      <c:valAx>
        <c:axId val="35900032"/>
        <c:scaling>
          <c:orientation val="minMax"/>
        </c:scaling>
        <c:delete val="1"/>
        <c:axPos val="l"/>
        <c:numFmt formatCode="#,##0_);\(#,##0\);\–_);&quot;–&quot;_)" sourceLinked="1"/>
        <c:majorTickMark val="none"/>
        <c:minorTickMark val="none"/>
        <c:tickLblPos val="nextTo"/>
        <c:crossAx val="358984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Gráficas!$C$105</c:f>
              <c:strCache>
                <c:ptCount val="1"/>
                <c:pt idx="0">
                  <c:v>Costo de Ventas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Gráficas!$D$103:$H$103</c:f>
              <c:strCache>
                <c:ptCount val="5"/>
                <c:pt idx="0">
                  <c:v>2015 E</c:v>
                </c:pt>
                <c:pt idx="1">
                  <c:v>2016 E</c:v>
                </c:pt>
                <c:pt idx="2">
                  <c:v>2017 E</c:v>
                </c:pt>
                <c:pt idx="3">
                  <c:v>2018 E</c:v>
                </c:pt>
                <c:pt idx="4">
                  <c:v>2019 E</c:v>
                </c:pt>
              </c:strCache>
            </c:strRef>
          </c:cat>
          <c:val>
            <c:numRef>
              <c:f>Gráficas!$D$105:$H$105</c:f>
              <c:numCache>
                <c:formatCode>#,##0_);\(#,##0\);\–_);"–"_)</c:formatCode>
                <c:ptCount val="5"/>
                <c:pt idx="0">
                  <c:v>99639.681586560386</c:v>
                </c:pt>
                <c:pt idx="1">
                  <c:v>106848.77624324</c:v>
                </c:pt>
                <c:pt idx="2">
                  <c:v>116012.38522570617</c:v>
                </c:pt>
                <c:pt idx="3">
                  <c:v>126927.895822352</c:v>
                </c:pt>
                <c:pt idx="4">
                  <c:v>139277.81902716341</c:v>
                </c:pt>
              </c:numCache>
            </c:numRef>
          </c:val>
          <c:extLst>
            <c:ext xmlns:c16="http://schemas.microsoft.com/office/drawing/2014/chart" uri="{C3380CC4-5D6E-409C-BE32-E72D297353CC}">
              <c16:uniqueId val="{00000001-A79B-40C8-BC93-20E2DD30E42F}"/>
            </c:ext>
          </c:extLst>
        </c:ser>
        <c:dLbls>
          <c:dLblPos val="inEnd"/>
          <c:showLegendKey val="0"/>
          <c:showVal val="1"/>
          <c:showCatName val="0"/>
          <c:showSerName val="0"/>
          <c:showPercent val="0"/>
          <c:showBubbleSize val="0"/>
        </c:dLbls>
        <c:gapWidth val="41"/>
        <c:axId val="35940224"/>
        <c:axId val="35941760"/>
      </c:barChart>
      <c:catAx>
        <c:axId val="35940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5941760"/>
        <c:crosses val="autoZero"/>
        <c:auto val="1"/>
        <c:lblAlgn val="ctr"/>
        <c:lblOffset val="100"/>
        <c:noMultiLvlLbl val="0"/>
      </c:catAx>
      <c:valAx>
        <c:axId val="35941760"/>
        <c:scaling>
          <c:orientation val="minMax"/>
        </c:scaling>
        <c:delete val="1"/>
        <c:axPos val="l"/>
        <c:numFmt formatCode="#,##0_);\(#,##0\);\–_);&quot;–&quot;_)" sourceLinked="1"/>
        <c:majorTickMark val="none"/>
        <c:minorTickMark val="none"/>
        <c:tickLblPos val="nextTo"/>
        <c:crossAx val="359402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Gráficas!$C$106</c:f>
              <c:strCache>
                <c:ptCount val="1"/>
                <c:pt idx="0">
                  <c:v>Gastos de Operación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Gráficas!$D$103:$H$103</c:f>
              <c:strCache>
                <c:ptCount val="5"/>
                <c:pt idx="0">
                  <c:v>2015 E</c:v>
                </c:pt>
                <c:pt idx="1">
                  <c:v>2016 E</c:v>
                </c:pt>
                <c:pt idx="2">
                  <c:v>2017 E</c:v>
                </c:pt>
                <c:pt idx="3">
                  <c:v>2018 E</c:v>
                </c:pt>
                <c:pt idx="4">
                  <c:v>2019 E</c:v>
                </c:pt>
              </c:strCache>
            </c:strRef>
          </c:cat>
          <c:val>
            <c:numRef>
              <c:f>Gráficas!$D$106:$H$106</c:f>
              <c:numCache>
                <c:formatCode>#,##0_);\(#,##0\);\–_);"–"_)</c:formatCode>
                <c:ptCount val="5"/>
                <c:pt idx="0">
                  <c:v>12481.961583768711</c:v>
                </c:pt>
                <c:pt idx="1">
                  <c:v>13508.795611288919</c:v>
                </c:pt>
                <c:pt idx="2">
                  <c:v>14666.303461828231</c:v>
                </c:pt>
                <c:pt idx="3">
                  <c:v>15977.09720833254</c:v>
                </c:pt>
                <c:pt idx="4">
                  <c:v>17468.387159738406</c:v>
                </c:pt>
              </c:numCache>
            </c:numRef>
          </c:val>
          <c:extLst>
            <c:ext xmlns:c16="http://schemas.microsoft.com/office/drawing/2014/chart" uri="{C3380CC4-5D6E-409C-BE32-E72D297353CC}">
              <c16:uniqueId val="{00000001-F1D5-4962-81CE-85CA14DE4390}"/>
            </c:ext>
          </c:extLst>
        </c:ser>
        <c:dLbls>
          <c:dLblPos val="inEnd"/>
          <c:showLegendKey val="0"/>
          <c:showVal val="1"/>
          <c:showCatName val="0"/>
          <c:showSerName val="0"/>
          <c:showPercent val="0"/>
          <c:showBubbleSize val="0"/>
        </c:dLbls>
        <c:gapWidth val="41"/>
        <c:axId val="36057856"/>
        <c:axId val="36059392"/>
      </c:barChart>
      <c:catAx>
        <c:axId val="36057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6059392"/>
        <c:crosses val="autoZero"/>
        <c:auto val="1"/>
        <c:lblAlgn val="ctr"/>
        <c:lblOffset val="100"/>
        <c:noMultiLvlLbl val="0"/>
      </c:catAx>
      <c:valAx>
        <c:axId val="36059392"/>
        <c:scaling>
          <c:orientation val="minMax"/>
        </c:scaling>
        <c:delete val="1"/>
        <c:axPos val="l"/>
        <c:numFmt formatCode="#,##0_);\(#,##0\);\–_);&quot;–&quot;_)" sourceLinked="1"/>
        <c:majorTickMark val="none"/>
        <c:minorTickMark val="none"/>
        <c:tickLblPos val="nextTo"/>
        <c:crossAx val="36057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MX"/>
        </a:p>
      </c:txPr>
    </c:title>
    <c:autoTitleDeleted val="0"/>
    <c:plotArea>
      <c:layout/>
      <c:barChart>
        <c:barDir val="col"/>
        <c:grouping val="clustered"/>
        <c:varyColors val="0"/>
        <c:ser>
          <c:idx val="0"/>
          <c:order val="0"/>
          <c:tx>
            <c:strRef>
              <c:f>Gráficas!$C$107</c:f>
              <c:strCache>
                <c:ptCount val="1"/>
                <c:pt idx="0">
                  <c:v>Utilidad operación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19050" cap="rnd">
                <a:solidFill>
                  <a:schemeClr val="accent1"/>
                </a:solidFill>
                <a:prstDash val="sysDash"/>
              </a:ln>
              <a:effectLst/>
            </c:spPr>
            <c:trendlineType val="linear"/>
            <c:dispRSqr val="0"/>
            <c:dispEq val="0"/>
          </c:trendline>
          <c:cat>
            <c:strRef>
              <c:f>Gráficas!$D$103:$H$103</c:f>
              <c:strCache>
                <c:ptCount val="5"/>
                <c:pt idx="0">
                  <c:v>2015 E</c:v>
                </c:pt>
                <c:pt idx="1">
                  <c:v>2016 E</c:v>
                </c:pt>
                <c:pt idx="2">
                  <c:v>2017 E</c:v>
                </c:pt>
                <c:pt idx="3">
                  <c:v>2018 E</c:v>
                </c:pt>
                <c:pt idx="4">
                  <c:v>2019 E</c:v>
                </c:pt>
              </c:strCache>
            </c:strRef>
          </c:cat>
          <c:val>
            <c:numRef>
              <c:f>Gráficas!$D$107:$H$107</c:f>
              <c:numCache>
                <c:formatCode>#,##0_);\(#,##0\);\–_);"–"_)</c:formatCode>
                <c:ptCount val="5"/>
                <c:pt idx="0">
                  <c:v>-83.144034862403714</c:v>
                </c:pt>
                <c:pt idx="1">
                  <c:v>2550.2122472177289</c:v>
                </c:pt>
                <c:pt idx="2">
                  <c:v>4522.9591552943657</c:v>
                </c:pt>
                <c:pt idx="3">
                  <c:v>6262.4829584913969</c:v>
                </c:pt>
                <c:pt idx="4">
                  <c:v>8356.770244501331</c:v>
                </c:pt>
              </c:numCache>
            </c:numRef>
          </c:val>
          <c:extLst>
            <c:ext xmlns:c16="http://schemas.microsoft.com/office/drawing/2014/chart" uri="{C3380CC4-5D6E-409C-BE32-E72D297353CC}">
              <c16:uniqueId val="{00000001-4D4D-43BA-9332-60B40FC50BFD}"/>
            </c:ext>
          </c:extLst>
        </c:ser>
        <c:dLbls>
          <c:dLblPos val="inEnd"/>
          <c:showLegendKey val="0"/>
          <c:showVal val="1"/>
          <c:showCatName val="0"/>
          <c:showSerName val="0"/>
          <c:showPercent val="0"/>
          <c:showBubbleSize val="0"/>
        </c:dLbls>
        <c:gapWidth val="41"/>
        <c:axId val="36076544"/>
        <c:axId val="36086528"/>
      </c:barChart>
      <c:catAx>
        <c:axId val="36076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s-MX"/>
          </a:p>
        </c:txPr>
        <c:crossAx val="36086528"/>
        <c:crosses val="autoZero"/>
        <c:auto val="1"/>
        <c:lblAlgn val="ctr"/>
        <c:lblOffset val="100"/>
        <c:noMultiLvlLbl val="0"/>
      </c:catAx>
      <c:valAx>
        <c:axId val="36086528"/>
        <c:scaling>
          <c:orientation val="minMax"/>
        </c:scaling>
        <c:delete val="1"/>
        <c:axPos val="l"/>
        <c:numFmt formatCode="#,##0_);\(#,##0\);\–_);&quot;–&quot;_)" sourceLinked="1"/>
        <c:majorTickMark val="none"/>
        <c:minorTickMark val="none"/>
        <c:tickLblPos val="nextTo"/>
        <c:crossAx val="360765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438150</xdr:colOff>
      <xdr:row>12</xdr:row>
      <xdr:rowOff>147637</xdr:rowOff>
    </xdr:from>
    <xdr:to>
      <xdr:col>9</xdr:col>
      <xdr:colOff>819150</xdr:colOff>
      <xdr:row>27</xdr:row>
      <xdr:rowOff>176212</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xdr:colOff>
      <xdr:row>55</xdr:row>
      <xdr:rowOff>4762</xdr:rowOff>
    </xdr:from>
    <xdr:to>
      <xdr:col>7</xdr:col>
      <xdr:colOff>733425</xdr:colOff>
      <xdr:row>70</xdr:row>
      <xdr:rowOff>33337</xdr:rowOff>
    </xdr:to>
    <xdr:graphicFrame macro="">
      <xdr:nvGraphicFramePr>
        <xdr:cNvPr id="3" name="Gráfico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523875</xdr:colOff>
      <xdr:row>55</xdr:row>
      <xdr:rowOff>9525</xdr:rowOff>
    </xdr:from>
    <xdr:to>
      <xdr:col>14</xdr:col>
      <xdr:colOff>66675</xdr:colOff>
      <xdr:row>70</xdr:row>
      <xdr:rowOff>38100</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342900</xdr:colOff>
      <xdr:row>72</xdr:row>
      <xdr:rowOff>133350</xdr:rowOff>
    </xdr:from>
    <xdr:to>
      <xdr:col>7</xdr:col>
      <xdr:colOff>723900</xdr:colOff>
      <xdr:row>87</xdr:row>
      <xdr:rowOff>161925</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495300</xdr:colOff>
      <xdr:row>72</xdr:row>
      <xdr:rowOff>123825</xdr:rowOff>
    </xdr:from>
    <xdr:to>
      <xdr:col>14</xdr:col>
      <xdr:colOff>38100</xdr:colOff>
      <xdr:row>87</xdr:row>
      <xdr:rowOff>152400</xdr:rowOff>
    </xdr:to>
    <xdr:graphicFrame macro="">
      <xdr:nvGraphicFramePr>
        <xdr:cNvPr id="6" name="Gráfico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352425</xdr:colOff>
      <xdr:row>110</xdr:row>
      <xdr:rowOff>4762</xdr:rowOff>
    </xdr:from>
    <xdr:to>
      <xdr:col>7</xdr:col>
      <xdr:colOff>733425</xdr:colOff>
      <xdr:row>125</xdr:row>
      <xdr:rowOff>33337</xdr:rowOff>
    </xdr:to>
    <xdr:graphicFrame macro="">
      <xdr:nvGraphicFramePr>
        <xdr:cNvPr id="7" name="Gráfico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110</xdr:row>
      <xdr:rowOff>0</xdr:rowOff>
    </xdr:from>
    <xdr:to>
      <xdr:col>14</xdr:col>
      <xdr:colOff>381000</xdr:colOff>
      <xdr:row>125</xdr:row>
      <xdr:rowOff>28575</xdr:rowOff>
    </xdr:to>
    <xdr:graphicFrame macro="">
      <xdr:nvGraphicFramePr>
        <xdr:cNvPr id="11" name="Gráfico 10">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352425</xdr:colOff>
      <xdr:row>127</xdr:row>
      <xdr:rowOff>28575</xdr:rowOff>
    </xdr:from>
    <xdr:to>
      <xdr:col>7</xdr:col>
      <xdr:colOff>733425</xdr:colOff>
      <xdr:row>142</xdr:row>
      <xdr:rowOff>57150</xdr:rowOff>
    </xdr:to>
    <xdr:graphicFrame macro="">
      <xdr:nvGraphicFramePr>
        <xdr:cNvPr id="12" name="Gráfico 11">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127</xdr:row>
      <xdr:rowOff>0</xdr:rowOff>
    </xdr:from>
    <xdr:to>
      <xdr:col>14</xdr:col>
      <xdr:colOff>381000</xdr:colOff>
      <xdr:row>142</xdr:row>
      <xdr:rowOff>28575</xdr:rowOff>
    </xdr:to>
    <xdr:graphicFrame macro="">
      <xdr:nvGraphicFramePr>
        <xdr:cNvPr id="13" name="Gráfico 12">
          <a:extLst>
            <a:ext uri="{FF2B5EF4-FFF2-40B4-BE49-F238E27FC236}">
              <a16:creationId xmlns:a16="http://schemas.microsoft.com/office/drawing/2014/main" id="{00000000-0008-0000-1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L46"/>
  <sheetViews>
    <sheetView showGridLines="0" zoomScaleNormal="100" workbookViewId="0">
      <selection activeCell="M51" sqref="M51"/>
    </sheetView>
  </sheetViews>
  <sheetFormatPr baseColWidth="10" defaultRowHeight="14.25" x14ac:dyDescent="0.2"/>
  <cols>
    <col min="1" max="1" width="3.125" customWidth="1"/>
    <col min="4" max="4" width="4.5" customWidth="1"/>
    <col min="5" max="5" width="7.625" customWidth="1"/>
    <col min="6" max="6" width="8.875" hidden="1" customWidth="1"/>
    <col min="7" max="7" width="11.625" customWidth="1"/>
    <col min="8" max="8" width="11.125" customWidth="1"/>
    <col min="9" max="9" width="9.75" hidden="1" customWidth="1"/>
    <col min="10" max="10" width="2.75" customWidth="1"/>
    <col min="11" max="11" width="12.625" bestFit="1" customWidth="1"/>
    <col min="12" max="12" width="12.625" hidden="1" customWidth="1"/>
  </cols>
  <sheetData>
    <row r="1" spans="1:12" s="153" customFormat="1" ht="12.75" x14ac:dyDescent="0.2"/>
    <row r="2" spans="1:12" s="153" customFormat="1" ht="12.75" x14ac:dyDescent="0.2">
      <c r="B2" s="154" t="s">
        <v>406</v>
      </c>
    </row>
    <row r="3" spans="1:12" s="153" customFormat="1" ht="12.75" x14ac:dyDescent="0.2"/>
    <row r="5" spans="1:12" s="155" customFormat="1" ht="12.75" x14ac:dyDescent="0.2">
      <c r="A5" s="155" t="s">
        <v>132</v>
      </c>
      <c r="B5" s="156" t="s">
        <v>188</v>
      </c>
      <c r="C5" s="157"/>
      <c r="D5" s="157"/>
      <c r="E5" s="157"/>
      <c r="F5" s="157"/>
      <c r="G5" s="157"/>
      <c r="H5" s="157"/>
      <c r="I5" s="157"/>
      <c r="J5" s="157"/>
      <c r="K5" s="157"/>
      <c r="L5" s="157"/>
    </row>
    <row r="6" spans="1:12" ht="5.0999999999999996" customHeight="1" x14ac:dyDescent="0.2"/>
    <row r="7" spans="1:12" x14ac:dyDescent="0.2">
      <c r="B7" s="155" t="s">
        <v>191</v>
      </c>
      <c r="E7" s="195">
        <f>+'&gt;&gt;LP Modelo '!H118</f>
        <v>0</v>
      </c>
      <c r="L7" s="201"/>
    </row>
    <row r="8" spans="1:12" x14ac:dyDescent="0.2">
      <c r="B8" s="341" t="s">
        <v>405</v>
      </c>
      <c r="E8" s="195">
        <f>+'&gt;&gt;LP Modelo '!H79/1000</f>
        <v>4672.2587800000001</v>
      </c>
    </row>
    <row r="9" spans="1:12" x14ac:dyDescent="0.2">
      <c r="B9" s="196" t="s">
        <v>409</v>
      </c>
      <c r="E9" s="195">
        <f>+'&gt;&gt;LP Modelo '!D53/1000</f>
        <v>2967.8011799999995</v>
      </c>
    </row>
    <row r="10" spans="1:12" x14ac:dyDescent="0.2">
      <c r="B10" s="196" t="s">
        <v>225</v>
      </c>
      <c r="E10" s="195">
        <f>+'&gt;&gt;LP Modelo '!G54/1000</f>
        <v>1948.7012259585322</v>
      </c>
    </row>
    <row r="11" spans="1:12" hidden="1" x14ac:dyDescent="0.2">
      <c r="B11" s="196" t="s">
        <v>192</v>
      </c>
      <c r="E11" s="195">
        <f>+'&gt;&gt;LP Modelo '!J54/1000</f>
        <v>55.029907537591441</v>
      </c>
    </row>
    <row r="12" spans="1:12" x14ac:dyDescent="0.2">
      <c r="B12" s="196" t="s">
        <v>408</v>
      </c>
      <c r="E12" s="344">
        <v>14</v>
      </c>
    </row>
    <row r="13" spans="1:12" x14ac:dyDescent="0.2">
      <c r="B13" s="196" t="s">
        <v>160</v>
      </c>
      <c r="E13" s="197">
        <v>0</v>
      </c>
    </row>
    <row r="15" spans="1:12" s="155" customFormat="1" ht="12.75" x14ac:dyDescent="0.2">
      <c r="A15" s="155" t="s">
        <v>132</v>
      </c>
      <c r="B15" s="156" t="s">
        <v>221</v>
      </c>
      <c r="C15" s="157"/>
      <c r="D15" s="157"/>
      <c r="E15" s="157"/>
      <c r="F15" s="157"/>
      <c r="G15" s="157"/>
      <c r="H15" s="157"/>
      <c r="I15" s="157"/>
      <c r="J15" s="157"/>
      <c r="K15" s="217" t="s">
        <v>104</v>
      </c>
      <c r="L15" s="217" t="s">
        <v>104</v>
      </c>
    </row>
    <row r="16" spans="1:12" ht="5.0999999999999996" customHeight="1" x14ac:dyDescent="0.2"/>
    <row r="17" spans="2:12" ht="14.25" customHeight="1" x14ac:dyDescent="0.2">
      <c r="B17" s="174"/>
      <c r="C17" s="174"/>
      <c r="D17" s="174"/>
      <c r="E17" s="427"/>
      <c r="F17" s="427"/>
      <c r="G17" s="440" t="s">
        <v>411</v>
      </c>
      <c r="H17" s="257" t="s">
        <v>214</v>
      </c>
      <c r="I17" s="257" t="s">
        <v>214</v>
      </c>
      <c r="J17" s="174"/>
      <c r="K17" s="438" t="s">
        <v>215</v>
      </c>
      <c r="L17" s="438"/>
    </row>
    <row r="18" spans="2:12" s="155" customFormat="1" ht="12.75" x14ac:dyDescent="0.2">
      <c r="B18" s="258" t="s">
        <v>216</v>
      </c>
      <c r="C18" s="161"/>
      <c r="D18" s="161"/>
      <c r="E18" s="439"/>
      <c r="F18" s="431"/>
      <c r="G18" s="429"/>
      <c r="H18" s="169" t="s">
        <v>217</v>
      </c>
      <c r="I18" s="343" t="s">
        <v>407</v>
      </c>
      <c r="J18" s="161"/>
      <c r="K18" s="198" t="s">
        <v>222</v>
      </c>
      <c r="L18" s="198" t="s">
        <v>207</v>
      </c>
    </row>
    <row r="19" spans="2:12" ht="5.0999999999999996" customHeight="1" x14ac:dyDescent="0.2"/>
    <row r="20" spans="2:12" ht="15" customHeight="1" x14ac:dyDescent="0.2">
      <c r="I20" s="11" t="str">
        <f>+CONCATENATE("TC: ",E12,".00")</f>
        <v>TC: 14.00</v>
      </c>
    </row>
    <row r="21" spans="2:12" ht="15" x14ac:dyDescent="0.25">
      <c r="B21" s="199" t="s">
        <v>412</v>
      </c>
      <c r="E21" s="201"/>
      <c r="F21" s="339"/>
      <c r="H21" s="146"/>
      <c r="I21" s="146"/>
      <c r="K21" s="186"/>
      <c r="L21" s="186"/>
    </row>
    <row r="22" spans="2:12" hidden="1" x14ac:dyDescent="0.2">
      <c r="B22" s="336"/>
      <c r="E22" s="201"/>
      <c r="F22" s="97"/>
      <c r="H22" s="146">
        <f>+AVERAGE(Flujos!P40:R40)/1000</f>
        <v>18114.314360854147</v>
      </c>
      <c r="I22" s="146">
        <f>+H22/$E$12</f>
        <v>1293.8795972038677</v>
      </c>
      <c r="K22" s="186">
        <f>(H22-E8+E7)/$E$10</f>
        <v>6.8979561370380083</v>
      </c>
      <c r="L22" s="186">
        <f>(H22-E8+E7)/$E$11</f>
        <v>244.26818401742278</v>
      </c>
    </row>
    <row r="23" spans="2:12" x14ac:dyDescent="0.2">
      <c r="B23" s="218" t="s">
        <v>441</v>
      </c>
      <c r="C23" s="219"/>
      <c r="D23" s="219"/>
      <c r="E23" s="220"/>
      <c r="F23" s="225"/>
      <c r="G23" s="355">
        <v>0.4</v>
      </c>
      <c r="H23" s="222">
        <f>+Flujos!Q42/1000</f>
        <v>20275.891835439066</v>
      </c>
      <c r="I23" s="222">
        <f>+H23/$E$12</f>
        <v>1448.2779882456475</v>
      </c>
      <c r="J23" s="219"/>
      <c r="K23" s="223">
        <f>(H23-E8+E7)/$E$10</f>
        <v>8.0071962020570453</v>
      </c>
      <c r="L23" s="223">
        <f>(H23-E8+E7)/$E$11</f>
        <v>283.54823319992096</v>
      </c>
    </row>
    <row r="24" spans="2:12" hidden="1" x14ac:dyDescent="0.2">
      <c r="B24" s="206"/>
      <c r="C24" s="202"/>
      <c r="D24" s="202"/>
      <c r="E24" s="203"/>
      <c r="F24" s="207"/>
      <c r="G24" s="202"/>
      <c r="H24" s="205">
        <f>+AVERAGE(Flujos!P44:R44)/1000</f>
        <v>21252.587139638279</v>
      </c>
      <c r="I24" s="205">
        <f>+H24/$E$12</f>
        <v>1518.0419385455914</v>
      </c>
      <c r="J24" s="202"/>
      <c r="K24" s="204">
        <f>(H24-E8+E7)/$E$10</f>
        <v>8.508399409192501</v>
      </c>
      <c r="L24" s="204">
        <f>(H24-E8+E7)/$E$11</f>
        <v>301.29667850726628</v>
      </c>
    </row>
    <row r="25" spans="2:12" ht="8.25" customHeight="1" x14ac:dyDescent="0.2">
      <c r="E25" s="201"/>
      <c r="F25" s="208"/>
      <c r="H25" s="146"/>
      <c r="I25" s="146"/>
      <c r="K25" s="186"/>
      <c r="L25" s="186"/>
    </row>
    <row r="26" spans="2:12" ht="15" x14ac:dyDescent="0.25">
      <c r="B26" s="199" t="s">
        <v>218</v>
      </c>
      <c r="I26" s="11"/>
    </row>
    <row r="27" spans="2:12" hidden="1" x14ac:dyDescent="0.2">
      <c r="B27" s="200" t="s">
        <v>153</v>
      </c>
      <c r="E27" s="201"/>
      <c r="F27" s="186"/>
      <c r="H27" s="146">
        <f>+Multiplos!D26</f>
        <v>20906.896041881377</v>
      </c>
      <c r="I27" s="146">
        <f>+H27/$E$12</f>
        <v>1493.3497172772411</v>
      </c>
      <c r="K27" s="186">
        <f>(H27-$E$8+$E$7)/$E$10</f>
        <v>8.3310037709325311</v>
      </c>
      <c r="L27" s="186">
        <f>(H27-$E$8+$E$7)/$E$11</f>
        <v>295.01480173833374</v>
      </c>
    </row>
    <row r="28" spans="2:12" hidden="1" x14ac:dyDescent="0.2">
      <c r="B28" s="336" t="s">
        <v>410</v>
      </c>
      <c r="E28" s="201"/>
      <c r="F28" s="186"/>
      <c r="H28" s="146">
        <f>+Multiplos!D43</f>
        <v>45026.023341221604</v>
      </c>
      <c r="I28" s="146">
        <f>+H28/$E$12</f>
        <v>3216.1445243729718</v>
      </c>
      <c r="K28" s="186">
        <f>(H28-$E$8+$E$7)/$E$10</f>
        <v>20.708030571167875</v>
      </c>
      <c r="L28" s="186">
        <f>(H28-$E$8+$E$7)/$E$11</f>
        <v>733.30605786781609</v>
      </c>
    </row>
    <row r="29" spans="2:12" x14ac:dyDescent="0.2">
      <c r="B29" s="218" t="s">
        <v>223</v>
      </c>
      <c r="C29" s="219"/>
      <c r="D29" s="219"/>
      <c r="E29" s="220"/>
      <c r="F29" s="221"/>
      <c r="G29" s="355">
        <v>0.3</v>
      </c>
      <c r="H29" s="222">
        <f>+Multiplos!G26</f>
        <v>24837.760470509769</v>
      </c>
      <c r="I29" s="222">
        <f t="shared" ref="I29:I39" si="0">+H29/$E$12</f>
        <v>1774.1257478935549</v>
      </c>
      <c r="J29" s="219"/>
      <c r="K29" s="354">
        <f>(H29-$E$8+$E$7)/$E$10</f>
        <v>10.348175195810589</v>
      </c>
      <c r="L29" s="223">
        <f>(H29-$E$8+$E$7)/$E$11</f>
        <v>366.44622157023485</v>
      </c>
    </row>
    <row r="30" spans="2:12" hidden="1" x14ac:dyDescent="0.2">
      <c r="B30" s="216" t="s">
        <v>224</v>
      </c>
      <c r="C30" s="202"/>
      <c r="D30" s="202"/>
      <c r="E30" s="203"/>
      <c r="F30" s="204"/>
      <c r="G30" s="202"/>
      <c r="H30" s="205">
        <f>+Multiplos!J26</f>
        <v>16642.984345117617</v>
      </c>
      <c r="I30" s="205">
        <f t="shared" si="0"/>
        <v>1188.7845960798297</v>
      </c>
      <c r="J30" s="202"/>
      <c r="K30" s="204">
        <f>(H30-$E$8+$E$7)/$E$10</f>
        <v>6.142925044463615</v>
      </c>
      <c r="L30" s="204">
        <f>(H30-$E$8+$E$7)/$E$11</f>
        <v>217.53126800985996</v>
      </c>
    </row>
    <row r="31" spans="2:12" ht="6" customHeight="1" x14ac:dyDescent="0.2">
      <c r="B31" s="349"/>
      <c r="C31" s="350"/>
      <c r="D31" s="350"/>
      <c r="E31" s="351"/>
      <c r="F31" s="352"/>
      <c r="G31" s="350"/>
      <c r="H31" s="353"/>
      <c r="I31" s="353"/>
      <c r="J31" s="350"/>
      <c r="K31" s="352"/>
      <c r="L31" s="352"/>
    </row>
    <row r="32" spans="2:12" ht="15" x14ac:dyDescent="0.25">
      <c r="B32" s="199" t="s">
        <v>219</v>
      </c>
      <c r="E32" s="201"/>
      <c r="F32" s="186"/>
      <c r="H32" s="146"/>
      <c r="I32" s="146"/>
      <c r="K32" s="186"/>
      <c r="L32" s="186"/>
    </row>
    <row r="33" spans="2:12" hidden="1" x14ac:dyDescent="0.2">
      <c r="B33" s="200" t="str">
        <f>+B27</f>
        <v>Cifras 2013</v>
      </c>
      <c r="E33" s="201"/>
      <c r="F33" s="186"/>
      <c r="H33" s="146">
        <f>+Multiplos!D43</f>
        <v>45026.023341221604</v>
      </c>
      <c r="I33" s="146">
        <f t="shared" si="0"/>
        <v>3216.1445243729718</v>
      </c>
      <c r="K33" s="186">
        <f>(H33-$E$8+$E$7)/$E$10</f>
        <v>20.708030571167875</v>
      </c>
      <c r="L33" s="186">
        <f>(H33-$E$8+$E$7)/$E$11</f>
        <v>733.30605786781609</v>
      </c>
    </row>
    <row r="34" spans="2:12" x14ac:dyDescent="0.2">
      <c r="B34" s="224" t="str">
        <f>+B29</f>
        <v>Cifras 2014 E</v>
      </c>
      <c r="C34" s="219"/>
      <c r="D34" s="219"/>
      <c r="E34" s="220"/>
      <c r="F34" s="221"/>
      <c r="G34" s="355">
        <v>0.3</v>
      </c>
      <c r="H34" s="222">
        <f>+Multiplos!G43</f>
        <v>25564.277256857211</v>
      </c>
      <c r="I34" s="222">
        <f t="shared" si="0"/>
        <v>1826.0198040612293</v>
      </c>
      <c r="J34" s="219"/>
      <c r="K34" s="223">
        <f t="shared" ref="K34:K35" si="1">(H34-$E$8+$E$7)/$E$10</f>
        <v>10.720996219715925</v>
      </c>
      <c r="L34" s="223">
        <f t="shared" ref="L34:L35" si="2">(H34-$E$8+$E$7)/$E$11</f>
        <v>379.64843867102047</v>
      </c>
    </row>
    <row r="35" spans="2:12" hidden="1" x14ac:dyDescent="0.2">
      <c r="B35" s="216" t="str">
        <f>+B30</f>
        <v>Cifras 2015 E</v>
      </c>
      <c r="C35" s="202"/>
      <c r="D35" s="202"/>
      <c r="E35" s="203"/>
      <c r="F35" s="204"/>
      <c r="G35" s="202"/>
      <c r="H35" s="205">
        <f>+Multiplos!J43</f>
        <v>18416.304652827715</v>
      </c>
      <c r="I35" s="205">
        <f t="shared" si="0"/>
        <v>1315.4503323448369</v>
      </c>
      <c r="J35" s="202"/>
      <c r="K35" s="204">
        <f t="shared" si="1"/>
        <v>7.0529261693604459</v>
      </c>
      <c r="L35" s="204">
        <f t="shared" si="2"/>
        <v>249.75593250704682</v>
      </c>
    </row>
    <row r="36" spans="2:12" ht="6" customHeight="1" x14ac:dyDescent="0.2">
      <c r="B36" s="349"/>
      <c r="C36" s="350"/>
      <c r="D36" s="350"/>
      <c r="E36" s="351"/>
      <c r="F36" s="352"/>
      <c r="G36" s="350"/>
      <c r="H36" s="353"/>
      <c r="I36" s="353"/>
      <c r="J36" s="350"/>
      <c r="K36" s="352"/>
      <c r="L36" s="352"/>
    </row>
    <row r="37" spans="2:12" ht="15" hidden="1" x14ac:dyDescent="0.25">
      <c r="B37" s="209" t="s">
        <v>103</v>
      </c>
      <c r="C37" s="209"/>
      <c r="D37" s="209"/>
      <c r="E37" s="209"/>
      <c r="F37" s="209"/>
      <c r="G37" s="209"/>
      <c r="H37" s="210">
        <f>+AVERAGE(H27:H36)</f>
        <v>28060.03849280527</v>
      </c>
      <c r="I37" s="210">
        <f t="shared" si="0"/>
        <v>2004.288463771805</v>
      </c>
      <c r="J37" s="209"/>
      <c r="K37" s="211">
        <f>+AVERAGE(K27:K36)</f>
        <v>12.001726791802696</v>
      </c>
      <c r="L37" s="211">
        <f>+AVERAGE(L27:L36)</f>
        <v>425.00125403316122</v>
      </c>
    </row>
    <row r="38" spans="2:12" ht="15" hidden="1" x14ac:dyDescent="0.25">
      <c r="B38" s="209" t="s">
        <v>220</v>
      </c>
      <c r="C38" s="209"/>
      <c r="D38" s="209"/>
      <c r="E38" s="209"/>
      <c r="F38" s="209"/>
      <c r="G38" s="209"/>
      <c r="H38" s="210">
        <f>+MEDIAN(H27:H36)</f>
        <v>24837.760470509769</v>
      </c>
      <c r="I38" s="210">
        <f t="shared" si="0"/>
        <v>1774.1257478935549</v>
      </c>
      <c r="J38" s="209"/>
      <c r="K38" s="211">
        <f>+MEDIAN(K27:K36)</f>
        <v>10.348175195810589</v>
      </c>
      <c r="L38" s="211">
        <f>+MEDIAN(L27:L36)</f>
        <v>366.44622157023485</v>
      </c>
    </row>
    <row r="39" spans="2:12" ht="15" x14ac:dyDescent="0.25">
      <c r="B39" s="432" t="s">
        <v>438</v>
      </c>
      <c r="C39" s="432"/>
      <c r="D39" s="432"/>
      <c r="E39" s="432"/>
      <c r="F39" s="212"/>
      <c r="G39" s="356">
        <f>+G29+G34+G23</f>
        <v>1</v>
      </c>
      <c r="H39" s="213">
        <f>+H29*G29+H34*G34+H23*G23</f>
        <v>23230.968052385721</v>
      </c>
      <c r="I39" s="213">
        <f t="shared" si="0"/>
        <v>1659.3548608846943</v>
      </c>
      <c r="J39" s="214"/>
      <c r="K39" s="215"/>
      <c r="L39" s="215">
        <f>+L29*0.3+L34*0.3+L23*0.4</f>
        <v>337.24769135234499</v>
      </c>
    </row>
    <row r="41" spans="2:12" ht="15" x14ac:dyDescent="0.25">
      <c r="B41" s="199" t="s">
        <v>436</v>
      </c>
      <c r="E41" s="201"/>
      <c r="F41" s="186"/>
      <c r="H41" s="146"/>
      <c r="I41" s="146"/>
      <c r="K41" s="186"/>
      <c r="L41" s="186"/>
    </row>
    <row r="42" spans="2:12" hidden="1" x14ac:dyDescent="0.2">
      <c r="B42" s="200" t="e">
        <f>+#REF!</f>
        <v>#REF!</v>
      </c>
      <c r="E42" s="201"/>
      <c r="F42" s="186"/>
      <c r="H42" s="146">
        <f>+Multiplos!D57</f>
        <v>0</v>
      </c>
      <c r="I42" s="146">
        <f t="shared" ref="I42:I43" si="3">+H42/$E$12</f>
        <v>0</v>
      </c>
      <c r="K42" s="186"/>
      <c r="L42" s="186">
        <f>(H42-$E$8+$E$7)/$E$11</f>
        <v>-84.903991103534693</v>
      </c>
    </row>
    <row r="43" spans="2:12" x14ac:dyDescent="0.2">
      <c r="B43" s="224" t="s">
        <v>437</v>
      </c>
      <c r="C43" s="219"/>
      <c r="D43" s="219"/>
      <c r="E43" s="220"/>
      <c r="F43" s="221"/>
      <c r="G43" s="355"/>
      <c r="H43" s="222">
        <f>+'V. Activos'!I11/1000</f>
        <v>28057.610570000001</v>
      </c>
      <c r="I43" s="222">
        <f t="shared" si="3"/>
        <v>2004.1150407142857</v>
      </c>
      <c r="J43" s="219"/>
      <c r="K43" s="223"/>
      <c r="L43" s="223">
        <f t="shared" ref="L43" si="4">(H43-$E$8+$E$7)/$E$11</f>
        <v>424.95713397347157</v>
      </c>
    </row>
    <row r="44" spans="2:12" hidden="1" x14ac:dyDescent="0.2">
      <c r="B44" s="216"/>
      <c r="C44" s="202"/>
      <c r="D44" s="202"/>
      <c r="E44" s="203"/>
      <c r="F44" s="204"/>
      <c r="G44" s="202"/>
      <c r="H44" s="205"/>
      <c r="I44" s="205"/>
      <c r="J44" s="202"/>
      <c r="K44" s="204"/>
      <c r="L44" s="204"/>
    </row>
    <row r="45" spans="2:12" ht="5.0999999999999996" customHeight="1" x14ac:dyDescent="0.2">
      <c r="B45" s="216"/>
      <c r="C45" s="202"/>
      <c r="D45" s="202"/>
      <c r="E45" s="203"/>
      <c r="F45" s="204"/>
      <c r="G45" s="202"/>
      <c r="H45" s="205"/>
      <c r="I45" s="205"/>
      <c r="J45" s="202"/>
      <c r="K45" s="204"/>
      <c r="L45" s="204"/>
    </row>
    <row r="46" spans="2:12" ht="15" x14ac:dyDescent="0.25">
      <c r="B46" s="432" t="s">
        <v>439</v>
      </c>
      <c r="C46" s="432"/>
      <c r="D46" s="432"/>
      <c r="E46" s="432"/>
      <c r="F46" s="212"/>
      <c r="G46" s="356"/>
      <c r="H46" s="213">
        <f>+H39+H43</f>
        <v>51288.578622385721</v>
      </c>
      <c r="I46" s="213">
        <f t="shared" ref="I46" si="5">+H46/$E$12</f>
        <v>3663.46990159898</v>
      </c>
      <c r="J46" s="214"/>
      <c r="K46" s="215"/>
      <c r="L46" s="215" t="e">
        <f>+#REF!*0.3+L37*0.3+L31*0.4</f>
        <v>#REF!</v>
      </c>
    </row>
  </sheetData>
  <mergeCells count="6">
    <mergeCell ref="B46:E46"/>
    <mergeCell ref="B39:E39"/>
    <mergeCell ref="E17:F17"/>
    <mergeCell ref="K17:L17"/>
    <mergeCell ref="E18:F18"/>
    <mergeCell ref="G17:G18"/>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2:O47"/>
  <sheetViews>
    <sheetView showGridLines="0" topLeftCell="A10" workbookViewId="0">
      <selection activeCell="N39" sqref="N39"/>
    </sheetView>
  </sheetViews>
  <sheetFormatPr baseColWidth="10" defaultRowHeight="14.25" x14ac:dyDescent="0.2"/>
  <cols>
    <col min="1" max="1" width="4.125" customWidth="1"/>
    <col min="2" max="2" width="19.75" bestFit="1" customWidth="1"/>
    <col min="3" max="3" width="2.625" customWidth="1"/>
    <col min="5" max="5" width="12.75" bestFit="1" customWidth="1"/>
    <col min="6" max="6" width="2.625" customWidth="1"/>
    <col min="7" max="7" width="11.75" bestFit="1" customWidth="1"/>
    <col min="8" max="8" width="12.25" bestFit="1" customWidth="1"/>
    <col min="9" max="9" width="2.625" customWidth="1"/>
    <col min="10" max="10" width="11.75" bestFit="1" customWidth="1"/>
    <col min="11" max="11" width="12.25" bestFit="1" customWidth="1"/>
    <col min="12" max="12" width="2.625" customWidth="1"/>
  </cols>
  <sheetData>
    <row r="2" spans="1:12" x14ac:dyDescent="0.2">
      <c r="A2" t="s">
        <v>132</v>
      </c>
      <c r="B2" s="119" t="s">
        <v>157</v>
      </c>
      <c r="C2" s="119"/>
      <c r="D2" s="87"/>
      <c r="E2" s="90"/>
      <c r="F2" s="91"/>
      <c r="G2" s="91"/>
    </row>
    <row r="3" spans="1:12" x14ac:dyDescent="0.2">
      <c r="E3" s="424" t="s">
        <v>163</v>
      </c>
      <c r="F3" s="424"/>
      <c r="G3" s="424"/>
    </row>
    <row r="4" spans="1:12" ht="5.0999999999999996" customHeight="1" x14ac:dyDescent="0.2">
      <c r="F4" s="120"/>
      <c r="G4" s="120"/>
    </row>
    <row r="5" spans="1:12" x14ac:dyDescent="0.2">
      <c r="B5" s="95" t="s">
        <v>161</v>
      </c>
      <c r="C5" s="95"/>
      <c r="D5" s="121">
        <f>+'&gt;&gt;LP Modelo '!F$13/1000</f>
        <v>104171.929</v>
      </c>
    </row>
    <row r="6" spans="1:12" x14ac:dyDescent="0.2">
      <c r="B6" s="93" t="s">
        <v>164</v>
      </c>
      <c r="C6" s="93"/>
      <c r="D6" s="121">
        <f>+'&gt;&gt;LP Modelo '!G$13/1000</f>
        <v>106578.20739386666</v>
      </c>
    </row>
    <row r="7" spans="1:12" x14ac:dyDescent="0.2">
      <c r="B7" s="93" t="s">
        <v>162</v>
      </c>
      <c r="C7" s="93"/>
      <c r="D7" s="121">
        <f>+'&gt;&gt;LP Modelo '!J$13/1000</f>
        <v>112038.49913546669</v>
      </c>
    </row>
    <row r="8" spans="1:12" x14ac:dyDescent="0.2">
      <c r="B8" s="95" t="s">
        <v>158</v>
      </c>
      <c r="C8" s="95"/>
      <c r="D8" s="121">
        <f>+'&gt;&gt;LP Modelo '!F$54/1000</f>
        <v>2274.2967200000076</v>
      </c>
    </row>
    <row r="9" spans="1:12" x14ac:dyDescent="0.2">
      <c r="B9" s="93" t="s">
        <v>166</v>
      </c>
      <c r="C9" s="93"/>
      <c r="D9" s="121">
        <f>+'&gt;&gt;LP Modelo '!G$54/1000</f>
        <v>1948.7012259585322</v>
      </c>
    </row>
    <row r="10" spans="1:12" x14ac:dyDescent="0.2">
      <c r="B10" s="95" t="s">
        <v>159</v>
      </c>
      <c r="C10" s="95"/>
      <c r="D10" s="121">
        <f>+'&gt;&gt;LP Modelo '!J$54/1000</f>
        <v>55.029907537591441</v>
      </c>
    </row>
    <row r="11" spans="1:12" x14ac:dyDescent="0.2">
      <c r="B11" s="125" t="s">
        <v>160</v>
      </c>
      <c r="C11" s="125"/>
      <c r="D11" s="121">
        <v>0</v>
      </c>
    </row>
    <row r="13" spans="1:12" x14ac:dyDescent="0.2">
      <c r="A13" t="s">
        <v>132</v>
      </c>
      <c r="B13" s="119" t="s">
        <v>165</v>
      </c>
      <c r="C13" s="119"/>
      <c r="D13" s="87"/>
      <c r="E13" s="90"/>
      <c r="F13" s="91"/>
      <c r="G13" s="91"/>
      <c r="H13" s="91"/>
      <c r="I13" s="91"/>
      <c r="J13" s="91"/>
      <c r="K13" s="91"/>
      <c r="L13" s="91"/>
    </row>
    <row r="14" spans="1:12" x14ac:dyDescent="0.2">
      <c r="E14" s="127"/>
      <c r="F14" s="127"/>
      <c r="G14" s="127"/>
      <c r="J14" s="422" t="s">
        <v>104</v>
      </c>
      <c r="K14" s="423"/>
      <c r="L14" s="423"/>
    </row>
    <row r="15" spans="1:12" ht="5.0999999999999996" customHeight="1" x14ac:dyDescent="0.2">
      <c r="F15" s="120"/>
      <c r="G15" s="120"/>
    </row>
    <row r="16" spans="1:12" x14ac:dyDescent="0.2">
      <c r="D16" s="11" t="str">
        <f>+$B$5</f>
        <v>Ventas 2013</v>
      </c>
      <c r="E16" s="11" t="str">
        <f>+$B$8</f>
        <v>EBITDA 2013</v>
      </c>
      <c r="G16" s="11" t="str">
        <f>+$B$6</f>
        <v>Ventas 2014 E</v>
      </c>
      <c r="H16" s="11" t="str">
        <f>+$B$9</f>
        <v>EBITDA 2014 E</v>
      </c>
      <c r="J16" s="11" t="str">
        <f>+$B$7</f>
        <v>Ventas 2015 E</v>
      </c>
      <c r="K16" s="11" t="str">
        <f>+$B$10</f>
        <v>EBITDA 2015 E</v>
      </c>
    </row>
    <row r="17" spans="1:14" x14ac:dyDescent="0.2">
      <c r="B17" s="75" t="s">
        <v>99</v>
      </c>
      <c r="C17" s="75"/>
      <c r="D17" s="94">
        <f>+$D$5</f>
        <v>104171.929</v>
      </c>
      <c r="E17" s="94">
        <f>+$D$8</f>
        <v>2274.2967200000076</v>
      </c>
      <c r="G17" s="94">
        <f>+$D$6</f>
        <v>106578.20739386666</v>
      </c>
      <c r="H17" s="94">
        <f>+$D$9</f>
        <v>1948.7012259585322</v>
      </c>
      <c r="I17" s="94"/>
      <c r="J17" s="94">
        <f>+$D$7</f>
        <v>112038.49913546669</v>
      </c>
      <c r="K17" s="94">
        <f>+$D$10</f>
        <v>55.029907537591441</v>
      </c>
    </row>
    <row r="18" spans="1:14" x14ac:dyDescent="0.2">
      <c r="B18" s="122" t="s">
        <v>93</v>
      </c>
      <c r="C18" s="122"/>
      <c r="D18" s="451">
        <f>+'Multiplos Sector'!E29</f>
        <v>0.29720000000000002</v>
      </c>
      <c r="E18" s="451">
        <f>+'Multiplos Sector'!F29</f>
        <v>6.4106666666666676</v>
      </c>
      <c r="F18" s="452"/>
      <c r="G18" s="451">
        <f>+D18</f>
        <v>0.29720000000000002</v>
      </c>
      <c r="H18" s="451">
        <f>+E18</f>
        <v>6.4106666666666676</v>
      </c>
      <c r="I18" s="451"/>
      <c r="J18" s="453">
        <f>+D18</f>
        <v>0.29720000000000002</v>
      </c>
      <c r="K18" s="453">
        <f>+E18</f>
        <v>6.4106666666666676</v>
      </c>
      <c r="N18">
        <f>106578*0.3</f>
        <v>31973.399999999998</v>
      </c>
    </row>
    <row r="19" spans="1:14" x14ac:dyDescent="0.2">
      <c r="B19" s="75" t="s">
        <v>94</v>
      </c>
      <c r="C19" s="75"/>
      <c r="D19" s="192">
        <f>+D17*D18</f>
        <v>30959.897298800002</v>
      </c>
      <c r="E19" s="192">
        <f t="shared" ref="E19:K19" si="0">+E17*E18</f>
        <v>14579.758173013384</v>
      </c>
      <c r="G19" s="192">
        <f>G17*G18</f>
        <v>31675.043237457172</v>
      </c>
      <c r="H19" s="192">
        <f t="shared" si="0"/>
        <v>12492.473992544832</v>
      </c>
      <c r="I19" s="192"/>
      <c r="J19" s="192">
        <f t="shared" si="0"/>
        <v>33297.841943060703</v>
      </c>
      <c r="K19" s="192">
        <f t="shared" si="0"/>
        <v>352.77839392098628</v>
      </c>
    </row>
    <row r="20" spans="1:14" x14ac:dyDescent="0.2">
      <c r="B20" s="123" t="s">
        <v>95</v>
      </c>
      <c r="C20" s="123"/>
      <c r="D20" s="193">
        <f>+'&gt;&gt;LP Modelo '!$F$118/1000000</f>
        <v>0</v>
      </c>
      <c r="E20" s="193">
        <f>+D20</f>
        <v>0</v>
      </c>
      <c r="G20" s="193">
        <f>+'&gt;&gt;LP Modelo '!$G$118/1000000</f>
        <v>0</v>
      </c>
      <c r="H20" s="193">
        <f>+G20</f>
        <v>0</v>
      </c>
      <c r="I20" s="193"/>
      <c r="J20" s="194">
        <f>+'&gt;&gt;LP Modelo '!$J$118/1000000</f>
        <v>0</v>
      </c>
      <c r="K20" s="194">
        <f>+J20</f>
        <v>0</v>
      </c>
    </row>
    <row r="21" spans="1:14" x14ac:dyDescent="0.2">
      <c r="B21" s="123" t="s">
        <v>96</v>
      </c>
      <c r="C21" s="123"/>
      <c r="D21" s="193">
        <f>+'&gt;&gt;LP Modelo '!$F$79/1000</f>
        <v>3870.1170000000002</v>
      </c>
      <c r="E21" s="193">
        <f>+D21</f>
        <v>3870.1170000000002</v>
      </c>
      <c r="G21" s="193">
        <f>+'&gt;&gt;LP Modelo '!$H$79/1000</f>
        <v>4672.2587800000001</v>
      </c>
      <c r="H21" s="193">
        <f>+G21</f>
        <v>4672.2587800000001</v>
      </c>
      <c r="I21" s="1"/>
      <c r="J21" s="193">
        <f>+'&gt;&gt;LP Modelo '!$J$79/1000</f>
        <v>3112.1805315407414</v>
      </c>
      <c r="K21" s="193">
        <f>+J21</f>
        <v>3112.1805315407414</v>
      </c>
    </row>
    <row r="22" spans="1:14" x14ac:dyDescent="0.2">
      <c r="B22" s="75" t="s">
        <v>97</v>
      </c>
      <c r="C22" s="75"/>
      <c r="D22" s="192">
        <f>+D20-D21</f>
        <v>-3870.1170000000002</v>
      </c>
      <c r="E22" s="192">
        <f t="shared" ref="E22:K22" si="1">+E20-E21</f>
        <v>-3870.1170000000002</v>
      </c>
      <c r="G22" s="192">
        <f t="shared" si="1"/>
        <v>-4672.2587800000001</v>
      </c>
      <c r="H22" s="192">
        <f t="shared" si="1"/>
        <v>-4672.2587800000001</v>
      </c>
      <c r="I22" s="192"/>
      <c r="J22" s="192">
        <f t="shared" si="1"/>
        <v>-3112.1805315407414</v>
      </c>
      <c r="K22" s="192">
        <f t="shared" si="1"/>
        <v>-3112.1805315407414</v>
      </c>
    </row>
    <row r="23" spans="1:14" x14ac:dyDescent="0.2">
      <c r="B23" s="75" t="s">
        <v>98</v>
      </c>
      <c r="C23" s="75"/>
      <c r="D23" s="192">
        <f>+D19-D22</f>
        <v>34830.014298800001</v>
      </c>
      <c r="E23" s="192">
        <f t="shared" ref="E23:K23" si="2">+E19-E22</f>
        <v>18449.875173013384</v>
      </c>
      <c r="G23" s="192">
        <f t="shared" si="2"/>
        <v>36347.302017457172</v>
      </c>
      <c r="H23" s="192">
        <f t="shared" si="2"/>
        <v>17164.732772544834</v>
      </c>
      <c r="I23" s="192"/>
      <c r="J23" s="192">
        <f t="shared" si="2"/>
        <v>36410.022474601443</v>
      </c>
      <c r="K23" s="192">
        <f t="shared" si="2"/>
        <v>3464.9589254617276</v>
      </c>
    </row>
    <row r="24" spans="1:14" x14ac:dyDescent="0.2">
      <c r="B24" s="122" t="s">
        <v>100</v>
      </c>
      <c r="C24" s="122"/>
      <c r="D24" s="97">
        <v>0.15</v>
      </c>
      <c r="E24" s="97">
        <v>0.85</v>
      </c>
      <c r="G24" s="97">
        <v>0.4</v>
      </c>
      <c r="H24" s="97">
        <v>0.6</v>
      </c>
      <c r="I24" s="97"/>
      <c r="J24" s="97">
        <f>+G24</f>
        <v>0.4</v>
      </c>
      <c r="K24" s="97">
        <f>+H24</f>
        <v>0.6</v>
      </c>
    </row>
    <row r="25" spans="1:14" ht="15" x14ac:dyDescent="0.25">
      <c r="B25" s="124" t="s">
        <v>101</v>
      </c>
      <c r="C25" s="124"/>
      <c r="D25" s="192">
        <f>+D23*D24</f>
        <v>5224.5021448199996</v>
      </c>
      <c r="E25" s="192">
        <f>+E23*E24</f>
        <v>15682.393897061376</v>
      </c>
      <c r="G25" s="192">
        <f>+G23*G24</f>
        <v>14538.920806982869</v>
      </c>
      <c r="H25" s="192">
        <f>+H23*H24</f>
        <v>10298.8396635269</v>
      </c>
      <c r="I25" s="49"/>
      <c r="J25" s="192">
        <f>+J23*J24</f>
        <v>14564.008989840579</v>
      </c>
      <c r="K25" s="192">
        <f>+K23*K24</f>
        <v>2078.9753552770367</v>
      </c>
    </row>
    <row r="26" spans="1:14" ht="15" x14ac:dyDescent="0.25">
      <c r="B26" s="126" t="s">
        <v>167</v>
      </c>
      <c r="C26" s="124"/>
      <c r="D26" s="425">
        <f>+D25+E25</f>
        <v>20906.896041881377</v>
      </c>
      <c r="E26" s="426"/>
      <c r="G26" s="425">
        <f>+G25+H25</f>
        <v>24837.760470509769</v>
      </c>
      <c r="H26" s="426"/>
      <c r="J26" s="425">
        <f>+J25+K25</f>
        <v>16642.984345117617</v>
      </c>
      <c r="K26" s="426"/>
    </row>
    <row r="30" spans="1:14" x14ac:dyDescent="0.2">
      <c r="A30" t="s">
        <v>132</v>
      </c>
      <c r="B30" s="128" t="s">
        <v>168</v>
      </c>
      <c r="C30" s="128"/>
      <c r="D30" s="87"/>
      <c r="E30" s="90"/>
      <c r="F30" s="91"/>
      <c r="G30" s="91"/>
      <c r="H30" s="91"/>
      <c r="I30" s="91"/>
      <c r="J30" s="91"/>
      <c r="K30" s="91"/>
      <c r="L30" s="91"/>
    </row>
    <row r="31" spans="1:14" x14ac:dyDescent="0.2">
      <c r="E31" s="127"/>
      <c r="F31" s="127"/>
      <c r="G31" s="127"/>
      <c r="J31" s="422" t="str">
        <f>+$J$14</f>
        <v>Cifras en miles de pesos</v>
      </c>
      <c r="K31" s="423"/>
      <c r="L31" s="423"/>
    </row>
    <row r="32" spans="1:14" ht="5.0999999999999996" customHeight="1" x14ac:dyDescent="0.2">
      <c r="F32" s="120"/>
      <c r="G32" s="120"/>
    </row>
    <row r="33" spans="1:15" x14ac:dyDescent="0.2">
      <c r="D33" s="11" t="str">
        <f>+$B$5</f>
        <v>Ventas 2013</v>
      </c>
      <c r="E33" s="11" t="str">
        <f>+$B$8</f>
        <v>EBITDA 2013</v>
      </c>
      <c r="G33" s="11" t="str">
        <f>+$B$6</f>
        <v>Ventas 2014 E</v>
      </c>
      <c r="H33" s="11" t="str">
        <f>+$B$9</f>
        <v>EBITDA 2014 E</v>
      </c>
      <c r="J33" s="11" t="str">
        <f>+$B$7</f>
        <v>Ventas 2015 E</v>
      </c>
      <c r="K33" s="11" t="str">
        <f>+$B$10</f>
        <v>EBITDA 2015 E</v>
      </c>
    </row>
    <row r="34" spans="1:15" x14ac:dyDescent="0.2">
      <c r="B34" s="75" t="s">
        <v>99</v>
      </c>
      <c r="C34" s="75"/>
      <c r="D34" s="94">
        <f>+'&gt;&gt;LP Modelo '!D13/1000</f>
        <v>131159.476</v>
      </c>
      <c r="E34" s="94">
        <f>+'&gt;&gt;LP Modelo '!D54/1000</f>
        <v>7943.6911800000071</v>
      </c>
      <c r="F34" s="94"/>
      <c r="G34" s="94">
        <f>+$D$6</f>
        <v>106578.20739386666</v>
      </c>
      <c r="H34" s="94">
        <f>+$D$9</f>
        <v>1948.7012259585322</v>
      </c>
      <c r="I34" s="94"/>
      <c r="J34" s="94">
        <f>+$D$7</f>
        <v>112038.49913546669</v>
      </c>
      <c r="K34" s="94">
        <f>+$D$10</f>
        <v>55.029907537591441</v>
      </c>
    </row>
    <row r="35" spans="1:15" x14ac:dyDescent="0.2">
      <c r="B35" s="122" t="s">
        <v>93</v>
      </c>
      <c r="C35" s="122"/>
      <c r="D35" s="451">
        <f>+'Ventas Sector'!H39</f>
        <v>0.33739130434782616</v>
      </c>
      <c r="E35" s="451">
        <f>+'Ventas Sector'!I39</f>
        <v>5.5666086956521745</v>
      </c>
      <c r="F35" s="451"/>
      <c r="G35" s="451">
        <f>+D35</f>
        <v>0.33739130434782616</v>
      </c>
      <c r="H35" s="451">
        <f>+E35</f>
        <v>5.5666086956521745</v>
      </c>
      <c r="I35" s="451"/>
      <c r="J35" s="451">
        <f>+D35</f>
        <v>0.33739130434782616</v>
      </c>
      <c r="K35" s="451">
        <f>+E35</f>
        <v>5.5666086956521745</v>
      </c>
    </row>
    <row r="36" spans="1:15" x14ac:dyDescent="0.2">
      <c r="B36" s="75" t="s">
        <v>94</v>
      </c>
      <c r="C36" s="75"/>
      <c r="D36" s="192">
        <f>+D34*D35</f>
        <v>44252.066685217396</v>
      </c>
      <c r="E36" s="192">
        <f t="shared" ref="E36" si="3">+E34*E35</f>
        <v>44219.420398163522</v>
      </c>
      <c r="F36" s="192"/>
      <c r="G36" s="192">
        <f t="shared" ref="G36" si="4">+G34*G35</f>
        <v>35958.5604076698</v>
      </c>
      <c r="H36" s="192">
        <f t="shared" ref="H36" si="5">+H34*H35</f>
        <v>10847.657189648819</v>
      </c>
      <c r="I36" s="192"/>
      <c r="J36" s="192">
        <f t="shared" ref="J36" si="6">+J34*J35</f>
        <v>37800.815360487897</v>
      </c>
      <c r="K36" s="192">
        <f t="shared" ref="K36" si="7">+K34*K35</f>
        <v>306.32996181969168</v>
      </c>
      <c r="M36" s="422"/>
      <c r="N36" s="423"/>
      <c r="O36" s="423"/>
    </row>
    <row r="37" spans="1:15" x14ac:dyDescent="0.2">
      <c r="B37" s="123" t="s">
        <v>95</v>
      </c>
      <c r="C37" s="123"/>
      <c r="D37" s="193">
        <f>+'&gt;&gt;LP Modelo '!$F$118/1000000</f>
        <v>0</v>
      </c>
      <c r="E37" s="193">
        <f>+D37</f>
        <v>0</v>
      </c>
      <c r="F37" s="193"/>
      <c r="G37" s="193">
        <f>+'&gt;&gt;LP Modelo '!$G$118/1000000</f>
        <v>0</v>
      </c>
      <c r="H37" s="193">
        <f>+G37</f>
        <v>0</v>
      </c>
      <c r="I37" s="193"/>
      <c r="J37" s="194">
        <f>+'&gt;&gt;LP Modelo '!$J$118/1000000</f>
        <v>0</v>
      </c>
      <c r="K37" s="194">
        <f>+J37</f>
        <v>0</v>
      </c>
    </row>
    <row r="38" spans="1:15" x14ac:dyDescent="0.2">
      <c r="B38" s="123" t="s">
        <v>96</v>
      </c>
      <c r="C38" s="123"/>
      <c r="D38" s="193">
        <f>+'&gt;&gt;LP Modelo '!D79/1000</f>
        <v>801.70600000000002</v>
      </c>
      <c r="E38" s="193">
        <f>+D38</f>
        <v>801.70600000000002</v>
      </c>
      <c r="F38" s="193"/>
      <c r="G38" s="193">
        <f>+'&gt;&gt;LP Modelo '!$H$79/1000</f>
        <v>4672.2587800000001</v>
      </c>
      <c r="H38" s="193">
        <f>+G38</f>
        <v>4672.2587800000001</v>
      </c>
      <c r="I38" s="1"/>
      <c r="J38" s="193">
        <f>+'&gt;&gt;LP Modelo '!$J$79/1000</f>
        <v>3112.1805315407414</v>
      </c>
      <c r="K38" s="193">
        <f>+J38</f>
        <v>3112.1805315407414</v>
      </c>
    </row>
    <row r="39" spans="1:15" x14ac:dyDescent="0.2">
      <c r="B39" s="75" t="s">
        <v>97</v>
      </c>
      <c r="C39" s="75"/>
      <c r="D39" s="192">
        <f>+D37-D38</f>
        <v>-801.70600000000002</v>
      </c>
      <c r="E39" s="192">
        <f t="shared" ref="E39" si="8">+E37-E38</f>
        <v>-801.70600000000002</v>
      </c>
      <c r="F39" s="192"/>
      <c r="G39" s="192">
        <f t="shared" ref="G39" si="9">+G37-G38</f>
        <v>-4672.2587800000001</v>
      </c>
      <c r="H39" s="192">
        <f t="shared" ref="H39" si="10">+H37-H38</f>
        <v>-4672.2587800000001</v>
      </c>
      <c r="I39" s="192"/>
      <c r="J39" s="192">
        <f t="shared" ref="J39" si="11">+J37-J38</f>
        <v>-3112.1805315407414</v>
      </c>
      <c r="K39" s="192">
        <f t="shared" ref="K39" si="12">+K37-K38</f>
        <v>-3112.1805315407414</v>
      </c>
    </row>
    <row r="40" spans="1:15" x14ac:dyDescent="0.2">
      <c r="B40" s="75" t="s">
        <v>98</v>
      </c>
      <c r="C40" s="75"/>
      <c r="D40" s="192">
        <f>+D36-D39</f>
        <v>45053.772685217395</v>
      </c>
      <c r="E40" s="192">
        <f t="shared" ref="E40" si="13">+E36-E39</f>
        <v>45021.12639816352</v>
      </c>
      <c r="F40" s="192"/>
      <c r="G40" s="192">
        <f t="shared" ref="G40" si="14">+G36-G39</f>
        <v>40630.819187669797</v>
      </c>
      <c r="H40" s="192">
        <f t="shared" ref="H40" si="15">+H36-H39</f>
        <v>15519.915969648819</v>
      </c>
      <c r="I40" s="192"/>
      <c r="J40" s="192">
        <f t="shared" ref="J40" si="16">+J36-J39</f>
        <v>40912.995892028637</v>
      </c>
      <c r="K40" s="192">
        <f t="shared" ref="K40" si="17">+K36-K39</f>
        <v>3418.510493360433</v>
      </c>
    </row>
    <row r="41" spans="1:15" x14ac:dyDescent="0.2">
      <c r="B41" s="122" t="s">
        <v>100</v>
      </c>
      <c r="C41" s="122"/>
      <c r="D41" s="97">
        <f>+D24</f>
        <v>0.15</v>
      </c>
      <c r="E41" s="97">
        <f>+E24</f>
        <v>0.85</v>
      </c>
      <c r="F41" s="97"/>
      <c r="G41" s="97">
        <v>0.4</v>
      </c>
      <c r="H41" s="97">
        <v>0.6</v>
      </c>
      <c r="I41" s="97"/>
      <c r="J41" s="97">
        <f>+G41</f>
        <v>0.4</v>
      </c>
      <c r="K41" s="97">
        <f>+H41</f>
        <v>0.6</v>
      </c>
    </row>
    <row r="42" spans="1:15" ht="15" x14ac:dyDescent="0.25">
      <c r="B42" s="124" t="s">
        <v>101</v>
      </c>
      <c r="C42" s="124"/>
      <c r="D42" s="192">
        <f>+D40*D41</f>
        <v>6758.0659027826086</v>
      </c>
      <c r="E42" s="192">
        <f>+E40*E41</f>
        <v>38267.957438438993</v>
      </c>
      <c r="F42" s="192"/>
      <c r="G42" s="192">
        <f>+G40*G41</f>
        <v>16252.32767506792</v>
      </c>
      <c r="H42" s="192">
        <f>+H40*H41</f>
        <v>9311.9495817892912</v>
      </c>
      <c r="I42" s="49"/>
      <c r="J42" s="192">
        <f>+J40*J41</f>
        <v>16365.198356811456</v>
      </c>
      <c r="K42" s="192">
        <f>+K40*K41</f>
        <v>2051.1062960162599</v>
      </c>
    </row>
    <row r="43" spans="1:15" ht="15" x14ac:dyDescent="0.25">
      <c r="B43" s="126" t="s">
        <v>167</v>
      </c>
      <c r="C43" s="124"/>
      <c r="D43" s="425">
        <f>+D42+E42</f>
        <v>45026.023341221604</v>
      </c>
      <c r="E43" s="426"/>
      <c r="G43" s="425">
        <f>+G42+H42</f>
        <v>25564.277256857211</v>
      </c>
      <c r="H43" s="426"/>
      <c r="J43" s="425">
        <f>+J42+K42</f>
        <v>18416.304652827715</v>
      </c>
      <c r="K43" s="426"/>
    </row>
    <row r="47" spans="1:15" x14ac:dyDescent="0.2">
      <c r="A47" t="s">
        <v>132</v>
      </c>
    </row>
  </sheetData>
  <mergeCells count="10">
    <mergeCell ref="M36:O36"/>
    <mergeCell ref="E3:G3"/>
    <mergeCell ref="J14:L14"/>
    <mergeCell ref="J31:L31"/>
    <mergeCell ref="D43:E43"/>
    <mergeCell ref="G43:H43"/>
    <mergeCell ref="J43:K43"/>
    <mergeCell ref="D26:E26"/>
    <mergeCell ref="G26:H26"/>
    <mergeCell ref="J26:K2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M32"/>
  <sheetViews>
    <sheetView showGridLines="0" zoomScaleNormal="100" workbookViewId="0">
      <selection activeCell="O42" sqref="O42"/>
    </sheetView>
  </sheetViews>
  <sheetFormatPr baseColWidth="10" defaultRowHeight="14.25" x14ac:dyDescent="0.2"/>
  <cols>
    <col min="1" max="1" width="3.125" customWidth="1"/>
    <col min="3" max="3" width="12.375" customWidth="1"/>
    <col min="4" max="4" width="6" customWidth="1"/>
    <col min="5" max="5" width="7.625" customWidth="1"/>
    <col min="6" max="6" width="8.875" hidden="1" customWidth="1"/>
    <col min="7" max="7" width="11.25" bestFit="1" customWidth="1"/>
    <col min="8" max="8" width="11.125" customWidth="1"/>
    <col min="9" max="9" width="11.5" bestFit="1" customWidth="1"/>
    <col min="10" max="10" width="10.375" bestFit="1" customWidth="1"/>
    <col min="11" max="11" width="12.625" bestFit="1" customWidth="1"/>
    <col min="12" max="12" width="12.625" hidden="1" customWidth="1"/>
  </cols>
  <sheetData>
    <row r="1" spans="1:13" s="153" customFormat="1" ht="12.75" x14ac:dyDescent="0.2"/>
    <row r="2" spans="1:13" s="153" customFormat="1" ht="12.75" x14ac:dyDescent="0.2">
      <c r="B2" s="154" t="s">
        <v>425</v>
      </c>
    </row>
    <row r="3" spans="1:13" s="153" customFormat="1" ht="12.75" x14ac:dyDescent="0.2"/>
    <row r="5" spans="1:13" s="155" customFormat="1" ht="12.75" x14ac:dyDescent="0.2">
      <c r="A5" s="155" t="s">
        <v>132</v>
      </c>
      <c r="B5" s="190" t="s">
        <v>442</v>
      </c>
      <c r="C5" s="157"/>
      <c r="D5" s="157"/>
      <c r="E5" s="157"/>
      <c r="F5" s="157"/>
      <c r="G5" s="157"/>
      <c r="H5" s="157"/>
      <c r="I5" s="157"/>
      <c r="J5" s="157"/>
      <c r="K5" s="157"/>
      <c r="L5" s="157"/>
    </row>
    <row r="6" spans="1:13" ht="5.0999999999999996" customHeight="1" x14ac:dyDescent="0.2"/>
    <row r="7" spans="1:13" ht="25.5" x14ac:dyDescent="0.2">
      <c r="E7" s="392" t="s">
        <v>428</v>
      </c>
      <c r="F7" s="393"/>
      <c r="G7" s="392" t="s">
        <v>429</v>
      </c>
      <c r="H7" s="393" t="s">
        <v>426</v>
      </c>
      <c r="I7" s="392" t="s">
        <v>427</v>
      </c>
      <c r="K7" s="393"/>
      <c r="L7" s="393" t="s">
        <v>426</v>
      </c>
      <c r="M7" s="392"/>
    </row>
    <row r="8" spans="1:13" x14ac:dyDescent="0.2">
      <c r="B8" s="390" t="s">
        <v>424</v>
      </c>
      <c r="E8" s="195">
        <v>1339.73</v>
      </c>
      <c r="G8" s="195">
        <v>1135</v>
      </c>
      <c r="H8" s="146">
        <f>+I8/(E8+G8)</f>
        <v>4298.6653089427937</v>
      </c>
      <c r="I8" s="146">
        <v>10638036</v>
      </c>
    </row>
    <row r="9" spans="1:13" x14ac:dyDescent="0.2">
      <c r="B9" s="391" t="s">
        <v>430</v>
      </c>
      <c r="E9" s="195">
        <v>1974</v>
      </c>
      <c r="G9" s="195">
        <v>2060</v>
      </c>
      <c r="H9" s="146">
        <f>+I9/(E9+G9)</f>
        <v>2627.096323748141</v>
      </c>
      <c r="I9" s="146">
        <v>10597706.57</v>
      </c>
    </row>
    <row r="10" spans="1:13" x14ac:dyDescent="0.2">
      <c r="B10" s="391" t="s">
        <v>431</v>
      </c>
      <c r="E10" s="195">
        <v>1000</v>
      </c>
      <c r="G10" s="195">
        <v>1322</v>
      </c>
      <c r="H10" s="146">
        <f>+I10/(E10+G10)</f>
        <v>2937.9276485788114</v>
      </c>
      <c r="I10" s="146">
        <v>6821868</v>
      </c>
    </row>
    <row r="11" spans="1:13" x14ac:dyDescent="0.2">
      <c r="B11" s="407" t="s">
        <v>432</v>
      </c>
      <c r="E11" s="195">
        <f>+SUM(E8:E10)</f>
        <v>4313.7299999999996</v>
      </c>
      <c r="G11" s="195">
        <f>+SUM(G8:G10)</f>
        <v>4517</v>
      </c>
      <c r="H11" s="146"/>
      <c r="I11" s="146">
        <f>+SUM(I8:I10)</f>
        <v>28057610.57</v>
      </c>
    </row>
    <row r="12" spans="1:13" ht="5.0999999999999996" customHeight="1" x14ac:dyDescent="0.2">
      <c r="B12" s="196"/>
      <c r="H12" s="146"/>
      <c r="I12" s="146"/>
    </row>
    <row r="13" spans="1:13" ht="15" x14ac:dyDescent="0.25">
      <c r="B13" s="196"/>
      <c r="G13" s="394" t="s">
        <v>433</v>
      </c>
      <c r="H13" s="395">
        <v>0.08</v>
      </c>
      <c r="I13" s="353">
        <f>I11*H13</f>
        <v>2244608.8456000001</v>
      </c>
      <c r="J13" t="s">
        <v>434</v>
      </c>
    </row>
    <row r="14" spans="1:13" ht="15" x14ac:dyDescent="0.25">
      <c r="B14" s="196"/>
      <c r="G14" s="394" t="s">
        <v>447</v>
      </c>
      <c r="H14" s="395"/>
      <c r="I14" s="353">
        <f>+I13/12/3</f>
        <v>62350.245711111114</v>
      </c>
    </row>
    <row r="15" spans="1:13" ht="15" x14ac:dyDescent="0.25">
      <c r="B15" s="196"/>
      <c r="G15" s="394" t="s">
        <v>440</v>
      </c>
      <c r="H15" s="395">
        <v>1.4999999999999999E-2</v>
      </c>
      <c r="I15" t="s">
        <v>434</v>
      </c>
    </row>
    <row r="16" spans="1:13" ht="15" x14ac:dyDescent="0.25">
      <c r="B16" s="196"/>
      <c r="G16" s="394"/>
      <c r="H16" s="353"/>
      <c r="I16" s="353"/>
    </row>
    <row r="18" spans="1:12" s="155" customFormat="1" ht="12.75" x14ac:dyDescent="0.2">
      <c r="A18" s="155" t="s">
        <v>132</v>
      </c>
      <c r="B18" s="190" t="s">
        <v>450</v>
      </c>
      <c r="C18" s="157"/>
      <c r="D18" s="157"/>
      <c r="E18" s="157"/>
      <c r="F18" s="157"/>
      <c r="G18" s="157"/>
      <c r="H18" s="157"/>
      <c r="I18" s="157"/>
      <c r="J18" s="157"/>
      <c r="K18" s="217"/>
      <c r="L18" s="217"/>
    </row>
    <row r="19" spans="1:12" ht="5.0999999999999996" customHeight="1" x14ac:dyDescent="0.2"/>
    <row r="20" spans="1:12" ht="14.25" customHeight="1" x14ac:dyDescent="0.2">
      <c r="B20" s="174"/>
      <c r="C20" s="174"/>
      <c r="D20" s="174"/>
      <c r="E20" s="427"/>
      <c r="F20" s="427"/>
      <c r="G20" s="428" t="s">
        <v>243</v>
      </c>
      <c r="H20" s="257"/>
      <c r="I20" s="257"/>
      <c r="J20" s="174"/>
      <c r="K20" s="174"/>
      <c r="L20" s="174"/>
    </row>
    <row r="21" spans="1:12" s="155" customFormat="1" x14ac:dyDescent="0.2">
      <c r="B21" s="258" t="s">
        <v>216</v>
      </c>
      <c r="C21" s="403"/>
      <c r="D21" s="403" t="s">
        <v>443</v>
      </c>
      <c r="E21" s="430" t="s">
        <v>444</v>
      </c>
      <c r="F21" s="431"/>
      <c r="G21" s="429"/>
      <c r="H21" s="408" t="s">
        <v>449</v>
      </c>
      <c r="I21" s="343"/>
      <c r="J21" s="161"/>
      <c r="K21" s="198"/>
      <c r="L21" s="198"/>
    </row>
    <row r="22" spans="1:12" ht="5.0999999999999996" customHeight="1" x14ac:dyDescent="0.2"/>
    <row r="23" spans="1:12" s="350" customFormat="1" x14ac:dyDescent="0.2">
      <c r="B23" s="404" t="s">
        <v>446</v>
      </c>
      <c r="D23" s="350" t="s">
        <v>445</v>
      </c>
      <c r="E23" s="353">
        <v>1250</v>
      </c>
      <c r="F23" s="405"/>
      <c r="G23" s="353">
        <v>62500</v>
      </c>
      <c r="H23" s="353">
        <f>+G23/E23</f>
        <v>50</v>
      </c>
      <c r="I23" s="353"/>
      <c r="K23" s="352"/>
      <c r="L23" s="352"/>
    </row>
    <row r="24" spans="1:12" s="350" customFormat="1" x14ac:dyDescent="0.2">
      <c r="B24" s="404" t="s">
        <v>451</v>
      </c>
      <c r="D24" s="350" t="s">
        <v>445</v>
      </c>
      <c r="E24" s="353">
        <v>9000</v>
      </c>
      <c r="F24" s="405"/>
      <c r="G24" s="353">
        <v>360000</v>
      </c>
      <c r="H24" s="353">
        <f>+G24/E24</f>
        <v>40</v>
      </c>
      <c r="I24" s="353"/>
      <c r="K24" s="352"/>
      <c r="L24" s="352"/>
    </row>
    <row r="25" spans="1:12" s="350" customFormat="1" x14ac:dyDescent="0.2">
      <c r="B25" s="404" t="s">
        <v>452</v>
      </c>
      <c r="D25" s="350" t="s">
        <v>448</v>
      </c>
      <c r="E25" s="353">
        <v>10941</v>
      </c>
      <c r="F25" s="405"/>
      <c r="G25" s="353">
        <v>70000000</v>
      </c>
      <c r="H25" s="353">
        <f>+G25/E25</f>
        <v>6397.9526551503523</v>
      </c>
      <c r="I25" s="353"/>
      <c r="K25" s="352"/>
      <c r="L25" s="352"/>
    </row>
    <row r="26" spans="1:12" s="350" customFormat="1" x14ac:dyDescent="0.2">
      <c r="B26" s="404" t="s">
        <v>453</v>
      </c>
      <c r="D26" s="350" t="s">
        <v>448</v>
      </c>
      <c r="E26" s="353">
        <v>1250</v>
      </c>
      <c r="F26" s="406"/>
      <c r="G26" s="409">
        <v>5500000</v>
      </c>
      <c r="H26" s="353">
        <f>+G26/E26</f>
        <v>4400</v>
      </c>
      <c r="I26" s="353"/>
      <c r="K26" s="352"/>
      <c r="L26" s="352" t="e">
        <f>(H26-E9+E8)/#REF!</f>
        <v>#REF!</v>
      </c>
    </row>
    <row r="27" spans="1:12" s="350" customFormat="1" ht="14.25" customHeight="1" x14ac:dyDescent="0.2">
      <c r="B27" s="410" t="s">
        <v>454</v>
      </c>
      <c r="D27" s="350" t="s">
        <v>448</v>
      </c>
      <c r="E27" s="353">
        <v>1050</v>
      </c>
      <c r="F27" s="406"/>
      <c r="G27" s="409">
        <v>21000000</v>
      </c>
      <c r="H27" s="353">
        <f>+G27/E27</f>
        <v>20000</v>
      </c>
      <c r="I27" s="353"/>
      <c r="K27" s="352"/>
      <c r="L27" s="352"/>
    </row>
    <row r="28" spans="1:12" ht="15" x14ac:dyDescent="0.25">
      <c r="B28" s="432"/>
      <c r="C28" s="432"/>
      <c r="D28" s="432"/>
      <c r="E28" s="432"/>
      <c r="F28" s="212"/>
      <c r="G28" s="356"/>
      <c r="H28" s="213"/>
      <c r="I28" s="213"/>
      <c r="J28" s="214"/>
      <c r="K28" s="215"/>
      <c r="L28" s="215" t="e">
        <f>+#REF!*0.3+#REF!*0.3+L25*0.4</f>
        <v>#REF!</v>
      </c>
    </row>
    <row r="30" spans="1:12" x14ac:dyDescent="0.2">
      <c r="H30" s="342"/>
      <c r="I30" s="342"/>
    </row>
    <row r="32" spans="1:12" x14ac:dyDescent="0.2">
      <c r="H32" s="422"/>
      <c r="I32" s="422"/>
      <c r="J32" s="423"/>
      <c r="K32" s="423"/>
    </row>
  </sheetData>
  <mergeCells count="5">
    <mergeCell ref="H32:K32"/>
    <mergeCell ref="E20:F20"/>
    <mergeCell ref="G20:G21"/>
    <mergeCell ref="E21:F21"/>
    <mergeCell ref="B28:E28"/>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2:M31"/>
  <sheetViews>
    <sheetView showGridLines="0" workbookViewId="0">
      <pane xSplit="3" ySplit="7" topLeftCell="D8" activePane="bottomRight" state="frozen"/>
      <selection activeCell="X37" sqref="X37"/>
      <selection pane="topRight" activeCell="X37" sqref="X37"/>
      <selection pane="bottomLeft" activeCell="X37" sqref="X37"/>
      <selection pane="bottomRight" activeCell="H32" sqref="H32"/>
    </sheetView>
  </sheetViews>
  <sheetFormatPr baseColWidth="10" defaultRowHeight="13.5" customHeight="1" outlineLevelCol="1" x14ac:dyDescent="0.2"/>
  <cols>
    <col min="1" max="1" width="3" customWidth="1"/>
    <col min="2" max="2" width="3.125" style="56" bestFit="1" customWidth="1"/>
    <col min="3" max="3" width="38" customWidth="1" outlineLevel="1"/>
    <col min="4" max="4" width="24.375" customWidth="1" outlineLevel="1"/>
    <col min="5" max="10" width="9.125" customWidth="1" outlineLevel="1"/>
    <col min="11" max="11" width="8.75" customWidth="1" outlineLevel="1"/>
    <col min="12" max="12" width="7" bestFit="1" customWidth="1"/>
  </cols>
  <sheetData>
    <row r="2" spans="2:13" ht="13.5" customHeight="1" x14ac:dyDescent="0.25">
      <c r="L2" s="103" t="s">
        <v>80</v>
      </c>
    </row>
    <row r="3" spans="2:13" ht="18" x14ac:dyDescent="0.25">
      <c r="B3" s="99"/>
      <c r="C3" s="100" t="str">
        <f>+'&gt;&gt;LP Modelo '!$B$2</f>
        <v>LP</v>
      </c>
      <c r="D3" s="101"/>
      <c r="E3" s="101"/>
      <c r="F3" s="101"/>
      <c r="G3" s="99"/>
      <c r="H3" s="99"/>
      <c r="I3" s="99"/>
      <c r="J3" s="99"/>
      <c r="K3" s="99"/>
      <c r="L3" s="187"/>
      <c r="M3" s="187"/>
    </row>
    <row r="4" spans="2:13" ht="18" x14ac:dyDescent="0.25">
      <c r="B4" s="99"/>
      <c r="C4" s="102" t="s">
        <v>348</v>
      </c>
      <c r="D4" s="101"/>
      <c r="E4" s="101"/>
      <c r="F4" s="101"/>
      <c r="G4" s="99"/>
      <c r="H4" s="99"/>
      <c r="I4" s="99"/>
      <c r="J4" s="99"/>
      <c r="K4" s="99"/>
      <c r="L4" s="187"/>
      <c r="M4" s="187"/>
    </row>
    <row r="5" spans="2:13" ht="13.5" customHeight="1" x14ac:dyDescent="0.25">
      <c r="C5" s="56"/>
      <c r="D5" s="68"/>
      <c r="E5" s="68"/>
      <c r="F5" s="68"/>
      <c r="G5" s="56"/>
      <c r="H5" s="56"/>
      <c r="I5" s="379" t="s">
        <v>79</v>
      </c>
      <c r="J5" s="56"/>
      <c r="K5" s="56"/>
    </row>
    <row r="6" spans="2:13" s="56" customFormat="1" ht="7.5" customHeight="1" x14ac:dyDescent="0.2"/>
    <row r="7" spans="2:13" s="56" customFormat="1" ht="25.5" customHeight="1" x14ac:dyDescent="0.2">
      <c r="B7" s="104" t="s">
        <v>87</v>
      </c>
      <c r="C7" s="105" t="s">
        <v>73</v>
      </c>
      <c r="D7" s="105" t="s">
        <v>74</v>
      </c>
      <c r="E7" s="106" t="s">
        <v>75</v>
      </c>
      <c r="F7" s="106" t="s">
        <v>76</v>
      </c>
      <c r="G7" s="106" t="s">
        <v>77</v>
      </c>
      <c r="H7" s="106" t="s">
        <v>2</v>
      </c>
      <c r="I7" s="106" t="s">
        <v>52</v>
      </c>
      <c r="J7" s="106" t="s">
        <v>78</v>
      </c>
      <c r="K7" s="382" t="s">
        <v>81</v>
      </c>
    </row>
    <row r="8" spans="2:13" s="56" customFormat="1" ht="5.0999999999999996" customHeight="1" x14ac:dyDescent="0.2">
      <c r="B8" s="229"/>
      <c r="C8" s="60"/>
      <c r="D8" s="65"/>
      <c r="E8" s="296"/>
      <c r="F8" s="296"/>
      <c r="G8" s="297"/>
      <c r="H8" s="298"/>
      <c r="I8" s="298"/>
      <c r="J8" s="298"/>
      <c r="K8" s="380"/>
      <c r="L8" s="62"/>
    </row>
    <row r="9" spans="2:13" s="56" customFormat="1" ht="13.5" customHeight="1" x14ac:dyDescent="0.2">
      <c r="B9" s="229">
        <v>1</v>
      </c>
      <c r="C9" s="60" t="s">
        <v>324</v>
      </c>
      <c r="D9" s="65" t="s">
        <v>212</v>
      </c>
      <c r="E9" s="296">
        <v>0.59699999999999998</v>
      </c>
      <c r="F9" s="296">
        <v>13.5</v>
      </c>
      <c r="G9" s="297">
        <v>5524.5</v>
      </c>
      <c r="H9" s="298">
        <v>7.2099999999999997E-2</v>
      </c>
      <c r="I9" s="298">
        <v>4.41E-2</v>
      </c>
      <c r="J9" s="298">
        <v>-2.1999999999999999E-2</v>
      </c>
      <c r="K9" s="380" t="s">
        <v>337</v>
      </c>
      <c r="L9" s="62"/>
    </row>
    <row r="10" spans="2:13" s="56" customFormat="1" ht="13.5" customHeight="1" x14ac:dyDescent="0.2">
      <c r="B10" s="229">
        <v>2</v>
      </c>
      <c r="C10" s="60" t="s">
        <v>325</v>
      </c>
      <c r="D10" s="65" t="s">
        <v>213</v>
      </c>
      <c r="E10" s="296">
        <v>1.29</v>
      </c>
      <c r="F10" s="296">
        <v>13.5</v>
      </c>
      <c r="G10" s="297">
        <v>162.30000000000001</v>
      </c>
      <c r="H10" s="298">
        <v>0.28599999999999998</v>
      </c>
      <c r="I10" s="298">
        <v>9.6199999999999994E-2</v>
      </c>
      <c r="J10" s="298">
        <v>6.6600000000000006E-2</v>
      </c>
      <c r="K10" s="380" t="s">
        <v>141</v>
      </c>
      <c r="L10" s="62"/>
    </row>
    <row r="11" spans="2:13" s="56" customFormat="1" ht="13.5" customHeight="1" x14ac:dyDescent="0.2">
      <c r="B11" s="229">
        <v>3</v>
      </c>
      <c r="C11" s="60" t="s">
        <v>326</v>
      </c>
      <c r="D11" s="65" t="s">
        <v>212</v>
      </c>
      <c r="E11" s="296">
        <v>0.27800000000000002</v>
      </c>
      <c r="F11" s="296">
        <v>9.75</v>
      </c>
      <c r="G11" s="297">
        <v>6573.6</v>
      </c>
      <c r="H11" s="298">
        <v>7.8700000000000006E-2</v>
      </c>
      <c r="I11" s="298">
        <v>2.8500000000000001E-2</v>
      </c>
      <c r="J11" s="298">
        <v>0.01</v>
      </c>
      <c r="K11" s="380" t="s">
        <v>338</v>
      </c>
      <c r="L11" s="62"/>
    </row>
    <row r="12" spans="2:13" s="56" customFormat="1" ht="13.5" customHeight="1" x14ac:dyDescent="0.2">
      <c r="B12" s="229">
        <v>4</v>
      </c>
      <c r="C12" s="60" t="s">
        <v>327</v>
      </c>
      <c r="D12" s="65" t="s">
        <v>336</v>
      </c>
      <c r="E12" s="296">
        <v>0.17699999999999999</v>
      </c>
      <c r="F12" s="296">
        <v>9.2899999999999991</v>
      </c>
      <c r="G12" s="297">
        <v>12840.5</v>
      </c>
      <c r="H12" s="298">
        <v>2.7199999999999998E-2</v>
      </c>
      <c r="I12" s="298">
        <v>1.83E-2</v>
      </c>
      <c r="J12" s="298">
        <v>1.1000000000000001E-3</v>
      </c>
      <c r="K12" s="380" t="s">
        <v>339</v>
      </c>
      <c r="L12" s="62"/>
    </row>
    <row r="13" spans="2:13" s="56" customFormat="1" ht="13.5" customHeight="1" x14ac:dyDescent="0.2">
      <c r="B13" s="229">
        <v>5</v>
      </c>
      <c r="C13" s="60" t="s">
        <v>328</v>
      </c>
      <c r="D13" s="65" t="s">
        <v>213</v>
      </c>
      <c r="E13" s="296">
        <v>0.252</v>
      </c>
      <c r="F13" s="296">
        <v>7.97</v>
      </c>
      <c r="G13" s="297">
        <v>50502.5</v>
      </c>
      <c r="H13" s="298">
        <v>7.1199999999999999E-2</v>
      </c>
      <c r="I13" s="298">
        <v>3.04E-2</v>
      </c>
      <c r="J13" s="298">
        <v>4.47E-3</v>
      </c>
      <c r="K13" s="380" t="s">
        <v>340</v>
      </c>
      <c r="L13" s="62"/>
    </row>
    <row r="14" spans="2:13" s="56" customFormat="1" ht="13.5" customHeight="1" x14ac:dyDescent="0.2">
      <c r="B14" s="229">
        <v>6</v>
      </c>
      <c r="C14" s="60" t="s">
        <v>329</v>
      </c>
      <c r="D14" s="65" t="s">
        <v>336</v>
      </c>
      <c r="E14" s="296">
        <v>0.17899999999999999</v>
      </c>
      <c r="F14" s="296">
        <v>7.76</v>
      </c>
      <c r="G14" s="297">
        <v>5884.6</v>
      </c>
      <c r="H14" s="298">
        <v>6.7500000000000004E-2</v>
      </c>
      <c r="I14" s="298">
        <v>2.3E-2</v>
      </c>
      <c r="J14" s="298">
        <v>-1.58E-3</v>
      </c>
      <c r="K14" s="380" t="s">
        <v>341</v>
      </c>
      <c r="L14" s="62"/>
    </row>
    <row r="15" spans="2:13" s="56" customFormat="1" ht="13.5" customHeight="1" x14ac:dyDescent="0.2">
      <c r="B15" s="229">
        <v>7</v>
      </c>
      <c r="C15" s="60" t="s">
        <v>330</v>
      </c>
      <c r="D15" s="65" t="s">
        <v>212</v>
      </c>
      <c r="E15" s="296">
        <v>0.40200000000000002</v>
      </c>
      <c r="F15" s="296">
        <v>7.1</v>
      </c>
      <c r="G15" s="297">
        <v>20317.599999999999</v>
      </c>
      <c r="H15" s="298">
        <v>6.2700000000000006E-2</v>
      </c>
      <c r="I15" s="298">
        <v>5.6800000000000003E-2</v>
      </c>
      <c r="J15" s="298">
        <v>2.3300000000000001E-2</v>
      </c>
      <c r="K15" s="380" t="s">
        <v>342</v>
      </c>
      <c r="L15" s="62"/>
    </row>
    <row r="16" spans="2:13" s="56" customFormat="1" ht="13.5" customHeight="1" x14ac:dyDescent="0.2">
      <c r="B16" s="229">
        <v>8</v>
      </c>
      <c r="C16" s="60" t="s">
        <v>331</v>
      </c>
      <c r="D16" s="65" t="s">
        <v>336</v>
      </c>
      <c r="E16" s="296">
        <v>0.36199999999999999</v>
      </c>
      <c r="F16" s="296">
        <v>6.82</v>
      </c>
      <c r="G16" s="297">
        <v>21571.599999999999</v>
      </c>
      <c r="H16" s="298">
        <v>0.114</v>
      </c>
      <c r="I16" s="298">
        <v>5.3199999999999997E-2</v>
      </c>
      <c r="J16" s="298">
        <v>2.8799999999999999E-2</v>
      </c>
      <c r="K16" s="380" t="s">
        <v>343</v>
      </c>
      <c r="L16" s="62"/>
    </row>
    <row r="17" spans="2:12" s="56" customFormat="1" ht="13.5" customHeight="1" x14ac:dyDescent="0.2">
      <c r="B17" s="229">
        <v>9</v>
      </c>
      <c r="C17" s="60" t="s">
        <v>332</v>
      </c>
      <c r="D17" s="65" t="s">
        <v>213</v>
      </c>
      <c r="E17" s="296">
        <v>0.23899999999999999</v>
      </c>
      <c r="F17" s="296">
        <v>6.5</v>
      </c>
      <c r="G17" s="297">
        <v>70.400000000000006</v>
      </c>
      <c r="H17" s="298">
        <v>0.17799999999999999</v>
      </c>
      <c r="I17" s="298">
        <v>3.6700000000000003E-2</v>
      </c>
      <c r="J17" s="298">
        <v>1.8700000000000001E-2</v>
      </c>
      <c r="K17" s="380" t="s">
        <v>344</v>
      </c>
      <c r="L17" s="62"/>
    </row>
    <row r="18" spans="2:12" s="56" customFormat="1" ht="13.5" customHeight="1" x14ac:dyDescent="0.2">
      <c r="B18" s="229">
        <v>10</v>
      </c>
      <c r="C18" s="60" t="s">
        <v>333</v>
      </c>
      <c r="D18" s="65" t="s">
        <v>213</v>
      </c>
      <c r="E18" s="296">
        <v>0.28699999999999998</v>
      </c>
      <c r="F18" s="296">
        <v>5.1100000000000003</v>
      </c>
      <c r="G18" s="297">
        <v>359.3</v>
      </c>
      <c r="H18" s="298">
        <v>9.7799999999999998E-2</v>
      </c>
      <c r="I18" s="298">
        <v>5.3600000000000002E-2</v>
      </c>
      <c r="J18" s="298">
        <v>4.2500000000000003E-2</v>
      </c>
      <c r="K18" s="380" t="s">
        <v>345</v>
      </c>
      <c r="L18" s="62"/>
    </row>
    <row r="19" spans="2:12" s="56" customFormat="1" ht="13.5" customHeight="1" x14ac:dyDescent="0.2">
      <c r="B19" s="229">
        <v>11</v>
      </c>
      <c r="C19" s="60" t="s">
        <v>334</v>
      </c>
      <c r="D19" s="65" t="s">
        <v>213</v>
      </c>
      <c r="E19" s="296">
        <v>0.29399999999999998</v>
      </c>
      <c r="F19" s="296">
        <v>4.58</v>
      </c>
      <c r="G19" s="297">
        <v>649.79999999999995</v>
      </c>
      <c r="H19" s="298">
        <v>0.09</v>
      </c>
      <c r="I19" s="298">
        <v>6.4199999999999993E-2</v>
      </c>
      <c r="J19" s="298">
        <v>5.5100000000000003E-2</v>
      </c>
      <c r="K19" s="380" t="s">
        <v>346</v>
      </c>
      <c r="L19" s="62"/>
    </row>
    <row r="20" spans="2:12" s="56" customFormat="1" ht="13.5" customHeight="1" x14ac:dyDescent="0.2">
      <c r="B20" s="229">
        <v>12</v>
      </c>
      <c r="C20" s="60" t="s">
        <v>335</v>
      </c>
      <c r="D20" s="65" t="s">
        <v>213</v>
      </c>
      <c r="E20" s="296">
        <v>0.10100000000000001</v>
      </c>
      <c r="F20" s="296">
        <v>4.28</v>
      </c>
      <c r="G20" s="297">
        <v>2615.6999999999998</v>
      </c>
      <c r="H20" s="298">
        <v>4.53E-2</v>
      </c>
      <c r="I20" s="298">
        <v>2.1700000000000001E-2</v>
      </c>
      <c r="J20" s="298">
        <v>7.1999999999999998E-3</v>
      </c>
      <c r="K20" s="380" t="s">
        <v>347</v>
      </c>
      <c r="L20" s="62"/>
    </row>
    <row r="21" spans="2:12" s="56" customFormat="1" ht="6.75" customHeight="1" x14ac:dyDescent="0.2">
      <c r="K21" s="381"/>
    </row>
    <row r="22" spans="2:12" ht="13.5" customHeight="1" x14ac:dyDescent="0.2">
      <c r="C22" s="56"/>
      <c r="D22" s="107" t="s">
        <v>103</v>
      </c>
      <c r="E22" s="108">
        <f t="shared" ref="E22:J22" si="0">+AVERAGE(E8:E20)</f>
        <v>0.3715</v>
      </c>
      <c r="F22" s="108">
        <f t="shared" si="0"/>
        <v>8.0133333333333336</v>
      </c>
      <c r="G22" s="109">
        <f t="shared" si="0"/>
        <v>10589.366666666667</v>
      </c>
      <c r="H22" s="110">
        <f t="shared" si="0"/>
        <v>9.9208333333333343E-2</v>
      </c>
      <c r="I22" s="111">
        <f t="shared" si="0"/>
        <v>4.3891666666666669E-2</v>
      </c>
      <c r="J22" s="111">
        <f t="shared" si="0"/>
        <v>1.9515833333333336E-2</v>
      </c>
      <c r="K22" s="381"/>
    </row>
    <row r="23" spans="2:12" ht="6" customHeight="1" x14ac:dyDescent="0.2">
      <c r="C23" s="56"/>
      <c r="D23" s="56"/>
      <c r="E23" s="56"/>
      <c r="F23" s="56"/>
      <c r="G23" s="56"/>
      <c r="H23" s="56"/>
      <c r="I23" s="56"/>
      <c r="J23" s="56"/>
      <c r="K23" s="56"/>
      <c r="L23" s="56"/>
    </row>
    <row r="24" spans="2:12" ht="13.5" customHeight="1" x14ac:dyDescent="0.2">
      <c r="C24" s="56"/>
      <c r="D24" s="64" t="s">
        <v>88</v>
      </c>
      <c r="E24" s="78"/>
      <c r="F24" s="56"/>
      <c r="G24" s="56"/>
      <c r="H24" s="56"/>
      <c r="I24" s="56"/>
      <c r="J24" s="56"/>
      <c r="K24" s="56"/>
      <c r="L24" s="56"/>
    </row>
    <row r="25" spans="2:12" ht="13.5" customHeight="1" x14ac:dyDescent="0.2">
      <c r="C25" s="56"/>
      <c r="D25" s="65" t="s">
        <v>89</v>
      </c>
      <c r="E25" s="61">
        <v>0.1</v>
      </c>
      <c r="F25" s="61">
        <f>+E25</f>
        <v>0.1</v>
      </c>
      <c r="G25" s="56"/>
      <c r="H25" s="56"/>
      <c r="I25" s="56"/>
      <c r="J25" s="56"/>
      <c r="K25" s="56"/>
      <c r="L25" s="56"/>
    </row>
    <row r="26" spans="2:12" ht="13.5" customHeight="1" x14ac:dyDescent="0.2">
      <c r="C26" s="56"/>
      <c r="D26" s="67" t="s">
        <v>142</v>
      </c>
      <c r="E26" s="61">
        <v>0.1</v>
      </c>
      <c r="F26" s="61">
        <f>+E26</f>
        <v>0.1</v>
      </c>
      <c r="G26" s="56"/>
      <c r="H26" s="56"/>
      <c r="I26" s="56"/>
      <c r="J26" s="56"/>
      <c r="K26" s="56"/>
      <c r="L26" s="56"/>
    </row>
    <row r="27" spans="2:12" ht="13.5" customHeight="1" x14ac:dyDescent="0.2">
      <c r="C27" s="56"/>
      <c r="D27" s="64" t="s">
        <v>90</v>
      </c>
      <c r="E27" s="66">
        <f>+SUM(E25:E26)</f>
        <v>0.2</v>
      </c>
      <c r="F27" s="66">
        <f>+SUM(F25:F26)</f>
        <v>0.2</v>
      </c>
      <c r="G27" s="56"/>
      <c r="H27" s="56"/>
      <c r="I27" s="56"/>
      <c r="J27" s="56"/>
      <c r="K27" s="56"/>
      <c r="L27" s="56"/>
    </row>
    <row r="28" spans="2:12" ht="3" customHeight="1" thickBot="1" x14ac:dyDescent="0.25">
      <c r="C28" s="56"/>
      <c r="D28" s="56"/>
      <c r="E28" s="56"/>
      <c r="F28" s="56"/>
      <c r="G28" s="56"/>
      <c r="H28" s="56"/>
      <c r="I28" s="56"/>
      <c r="J28" s="56"/>
      <c r="K28" s="56"/>
      <c r="L28" s="56"/>
    </row>
    <row r="29" spans="2:12" ht="13.5" customHeight="1" thickBot="1" x14ac:dyDescent="0.25">
      <c r="C29" s="56"/>
      <c r="D29" s="112" t="s">
        <v>91</v>
      </c>
      <c r="E29" s="450">
        <f>+E22*(1-E27)</f>
        <v>0.29720000000000002</v>
      </c>
      <c r="F29" s="114">
        <f>+F22*(1-F27)</f>
        <v>6.4106666666666676</v>
      </c>
      <c r="H29" s="56"/>
      <c r="I29" s="56"/>
      <c r="J29" s="56"/>
      <c r="K29" s="56"/>
      <c r="L29" s="56"/>
    </row>
    <row r="30" spans="2:12" ht="13.5" customHeight="1" x14ac:dyDescent="0.2">
      <c r="C30" s="56"/>
      <c r="D30" s="56"/>
      <c r="E30" s="56"/>
      <c r="F30" s="56"/>
      <c r="G30" s="56"/>
      <c r="H30" s="56"/>
      <c r="I30" s="56"/>
      <c r="J30" s="56"/>
      <c r="K30" s="56"/>
      <c r="L30" s="56"/>
    </row>
    <row r="31" spans="2:12" ht="13.5" customHeight="1" x14ac:dyDescent="0.2">
      <c r="D31" s="56"/>
      <c r="E31" s="56"/>
      <c r="F31" s="56"/>
      <c r="G31" s="56"/>
      <c r="H31" s="56"/>
      <c r="I31" s="56"/>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2:L43"/>
  <sheetViews>
    <sheetView showGridLines="0" workbookViewId="0">
      <selection activeCell="M36" sqref="M36"/>
    </sheetView>
  </sheetViews>
  <sheetFormatPr baseColWidth="10" defaultRowHeight="13.5" customHeight="1" outlineLevelCol="1" x14ac:dyDescent="0.2"/>
  <cols>
    <col min="1" max="2" width="3" customWidth="1"/>
    <col min="3" max="3" width="38" customWidth="1" outlineLevel="1"/>
    <col min="4" max="4" width="24.375" customWidth="1" outlineLevel="1"/>
    <col min="5" max="5" width="9.125" customWidth="1" outlineLevel="1"/>
    <col min="6" max="6" width="16.625" bestFit="1" customWidth="1" outlineLevel="1"/>
    <col min="7" max="8" width="9.125" customWidth="1" outlineLevel="1"/>
  </cols>
  <sheetData>
    <row r="2" spans="2:12" ht="13.5" customHeight="1" x14ac:dyDescent="0.25">
      <c r="I2" s="103" t="s">
        <v>85</v>
      </c>
    </row>
    <row r="3" spans="2:12" ht="18" x14ac:dyDescent="0.25">
      <c r="B3" s="101"/>
      <c r="C3" s="100" t="str">
        <f>+'&gt;&gt;LP Modelo '!$B$2</f>
        <v>LP</v>
      </c>
      <c r="D3" s="101"/>
      <c r="E3" s="101"/>
      <c r="F3" s="101"/>
      <c r="G3" s="101"/>
      <c r="H3" s="101"/>
      <c r="I3" s="101"/>
      <c r="J3" s="99"/>
      <c r="K3" s="99"/>
      <c r="L3" s="187"/>
    </row>
    <row r="4" spans="2:12" ht="18" x14ac:dyDescent="0.25">
      <c r="B4" s="101"/>
      <c r="C4" s="102" t="str">
        <f>+'Multiplos Sector'!C4</f>
        <v>Multiplos de Empresas Comparables Sector: Oil &amp; Gas Refining &amp; Marketing ("industrial oils or "lubricants")</v>
      </c>
      <c r="D4" s="101"/>
      <c r="E4" s="101"/>
      <c r="F4" s="101"/>
      <c r="G4" s="101"/>
      <c r="H4" s="101"/>
      <c r="I4" s="101"/>
      <c r="J4" s="99"/>
      <c r="K4" s="99"/>
      <c r="L4" s="187"/>
    </row>
    <row r="5" spans="2:12" ht="13.5" customHeight="1" x14ac:dyDescent="0.2">
      <c r="B5" s="56"/>
      <c r="C5" s="63"/>
      <c r="D5" s="56"/>
      <c r="E5" s="56"/>
      <c r="F5" s="56"/>
      <c r="G5" s="63"/>
      <c r="H5" s="124" t="s">
        <v>79</v>
      </c>
      <c r="I5" s="56"/>
    </row>
    <row r="6" spans="2:12" ht="7.5" customHeight="1" x14ac:dyDescent="0.2">
      <c r="B6" s="56"/>
      <c r="C6" s="56"/>
      <c r="D6" s="56"/>
      <c r="E6" s="56"/>
      <c r="F6" s="56"/>
      <c r="G6" s="56"/>
      <c r="H6" s="56"/>
      <c r="I6" s="56"/>
    </row>
    <row r="7" spans="2:12" ht="25.5" customHeight="1" x14ac:dyDescent="0.2">
      <c r="B7" s="57" t="s">
        <v>87</v>
      </c>
      <c r="C7" s="58" t="s">
        <v>73</v>
      </c>
      <c r="D7" s="58" t="s">
        <v>83</v>
      </c>
      <c r="E7" s="58" t="s">
        <v>86</v>
      </c>
      <c r="F7" s="58" t="s">
        <v>74</v>
      </c>
      <c r="G7" s="59" t="s">
        <v>84</v>
      </c>
      <c r="H7" s="59" t="s">
        <v>75</v>
      </c>
      <c r="I7" s="59" t="s">
        <v>76</v>
      </c>
    </row>
    <row r="8" spans="2:12" ht="13.5" customHeight="1" x14ac:dyDescent="0.2">
      <c r="B8" s="229">
        <v>1</v>
      </c>
      <c r="C8" s="60" t="s">
        <v>349</v>
      </c>
      <c r="D8" s="65" t="s">
        <v>82</v>
      </c>
      <c r="E8" s="69">
        <v>40835</v>
      </c>
      <c r="F8" s="65" t="s">
        <v>213</v>
      </c>
      <c r="G8" s="297">
        <v>5669.87</v>
      </c>
      <c r="H8" s="296">
        <v>0.629</v>
      </c>
      <c r="I8" s="296">
        <v>12.78</v>
      </c>
    </row>
    <row r="9" spans="2:12" ht="13.5" customHeight="1" x14ac:dyDescent="0.2">
      <c r="B9" s="229">
        <v>2</v>
      </c>
      <c r="C9" s="60" t="s">
        <v>350</v>
      </c>
      <c r="D9" s="65" t="s">
        <v>82</v>
      </c>
      <c r="E9" s="69">
        <v>41845</v>
      </c>
      <c r="F9" s="65" t="s">
        <v>213</v>
      </c>
      <c r="G9" s="297">
        <v>7.5</v>
      </c>
      <c r="H9" s="296">
        <v>0.26200000000000001</v>
      </c>
      <c r="I9" s="296">
        <v>12.46</v>
      </c>
    </row>
    <row r="10" spans="2:12" ht="13.5" customHeight="1" x14ac:dyDescent="0.2">
      <c r="B10" s="229">
        <v>3</v>
      </c>
      <c r="C10" s="60" t="s">
        <v>351</v>
      </c>
      <c r="D10" s="65" t="s">
        <v>82</v>
      </c>
      <c r="E10" s="69">
        <v>41387</v>
      </c>
      <c r="F10" s="65" t="s">
        <v>336</v>
      </c>
      <c r="G10" s="297">
        <v>233.56</v>
      </c>
      <c r="H10" s="296">
        <v>0.124</v>
      </c>
      <c r="I10" s="296">
        <v>12.3</v>
      </c>
    </row>
    <row r="11" spans="2:12" ht="13.5" customHeight="1" x14ac:dyDescent="0.2">
      <c r="B11" s="229">
        <v>4</v>
      </c>
      <c r="C11" s="60" t="s">
        <v>352</v>
      </c>
      <c r="D11" s="65" t="s">
        <v>82</v>
      </c>
      <c r="E11" s="69">
        <v>40892</v>
      </c>
      <c r="F11" s="65" t="s">
        <v>212</v>
      </c>
      <c r="G11" s="297">
        <v>669.26</v>
      </c>
      <c r="H11" s="296">
        <v>0.29699999999999999</v>
      </c>
      <c r="I11" s="296">
        <v>11.94</v>
      </c>
    </row>
    <row r="12" spans="2:12" ht="13.5" customHeight="1" x14ac:dyDescent="0.2">
      <c r="B12" s="229">
        <v>5</v>
      </c>
      <c r="C12" s="60" t="s">
        <v>353</v>
      </c>
      <c r="D12" s="65" t="s">
        <v>82</v>
      </c>
      <c r="E12" s="69">
        <v>41423</v>
      </c>
      <c r="F12" s="65" t="s">
        <v>336</v>
      </c>
      <c r="G12" s="297">
        <v>130.33000000000001</v>
      </c>
      <c r="H12" s="296">
        <v>0.20499999999999999</v>
      </c>
      <c r="I12" s="296">
        <v>10.47</v>
      </c>
    </row>
    <row r="13" spans="2:12" ht="13.5" customHeight="1" x14ac:dyDescent="0.2">
      <c r="B13" s="229">
        <v>6</v>
      </c>
      <c r="C13" s="60" t="s">
        <v>354</v>
      </c>
      <c r="D13" s="65" t="s">
        <v>82</v>
      </c>
      <c r="E13" s="69">
        <v>41414</v>
      </c>
      <c r="F13" s="65" t="s">
        <v>213</v>
      </c>
      <c r="G13" s="297">
        <v>48.49</v>
      </c>
      <c r="H13" s="296">
        <v>0.40200000000000002</v>
      </c>
      <c r="I13" s="296">
        <v>9.64</v>
      </c>
    </row>
    <row r="14" spans="2:12" ht="13.5" customHeight="1" x14ac:dyDescent="0.2">
      <c r="B14" s="229">
        <v>7</v>
      </c>
      <c r="C14" s="60" t="s">
        <v>323</v>
      </c>
      <c r="D14" s="65" t="s">
        <v>82</v>
      </c>
      <c r="E14" s="69">
        <v>41043</v>
      </c>
      <c r="F14" s="65" t="s">
        <v>213</v>
      </c>
      <c r="G14" s="297">
        <v>26.4</v>
      </c>
      <c r="H14" s="296">
        <v>0.129</v>
      </c>
      <c r="I14" s="296">
        <v>9.4700000000000006</v>
      </c>
    </row>
    <row r="15" spans="2:12" ht="13.5" customHeight="1" x14ac:dyDescent="0.2">
      <c r="B15" s="229">
        <v>8</v>
      </c>
      <c r="C15" s="60" t="s">
        <v>355</v>
      </c>
      <c r="D15" s="65" t="s">
        <v>82</v>
      </c>
      <c r="E15" s="69">
        <v>41187</v>
      </c>
      <c r="F15" s="65" t="s">
        <v>212</v>
      </c>
      <c r="G15" s="297">
        <v>8711.67</v>
      </c>
      <c r="H15" s="296">
        <v>0.14399999999999999</v>
      </c>
      <c r="I15" s="296">
        <v>8.8699999999999992</v>
      </c>
    </row>
    <row r="16" spans="2:12" ht="13.5" customHeight="1" x14ac:dyDescent="0.2">
      <c r="B16" s="229">
        <v>9</v>
      </c>
      <c r="C16" s="60" t="s">
        <v>356</v>
      </c>
      <c r="D16" s="65" t="s">
        <v>82</v>
      </c>
      <c r="E16" s="69">
        <v>40977</v>
      </c>
      <c r="F16" s="65" t="s">
        <v>370</v>
      </c>
      <c r="G16" s="297">
        <v>294.66000000000003</v>
      </c>
      <c r="H16" s="296">
        <v>0.27</v>
      </c>
      <c r="I16" s="296">
        <v>7.1</v>
      </c>
    </row>
    <row r="17" spans="2:9" ht="13.5" customHeight="1" x14ac:dyDescent="0.2">
      <c r="B17" s="229">
        <v>10</v>
      </c>
      <c r="C17" s="60" t="s">
        <v>357</v>
      </c>
      <c r="D17" s="65" t="s">
        <v>82</v>
      </c>
      <c r="E17" s="69">
        <v>40893</v>
      </c>
      <c r="F17" s="65" t="s">
        <v>213</v>
      </c>
      <c r="G17" s="297">
        <v>5.19</v>
      </c>
      <c r="H17" s="296">
        <v>0.73299999999999998</v>
      </c>
      <c r="I17" s="296">
        <v>6.33</v>
      </c>
    </row>
    <row r="18" spans="2:9" ht="13.5" customHeight="1" x14ac:dyDescent="0.2">
      <c r="B18" s="229">
        <v>11</v>
      </c>
      <c r="C18" s="60" t="s">
        <v>358</v>
      </c>
      <c r="D18" s="65" t="s">
        <v>82</v>
      </c>
      <c r="E18" s="69">
        <v>40909</v>
      </c>
      <c r="F18" s="65" t="s">
        <v>213</v>
      </c>
      <c r="G18" s="297">
        <v>14105.15</v>
      </c>
      <c r="H18" s="296">
        <v>0.377</v>
      </c>
      <c r="I18" s="296">
        <v>6.26</v>
      </c>
    </row>
    <row r="19" spans="2:9" ht="13.5" customHeight="1" x14ac:dyDescent="0.2">
      <c r="B19" s="229">
        <v>12</v>
      </c>
      <c r="C19" s="60" t="s">
        <v>359</v>
      </c>
      <c r="D19" s="65" t="s">
        <v>82</v>
      </c>
      <c r="E19" s="69">
        <v>41613</v>
      </c>
      <c r="F19" s="65" t="s">
        <v>336</v>
      </c>
      <c r="G19" s="297">
        <v>3667.86</v>
      </c>
      <c r="H19" s="296">
        <v>1.08</v>
      </c>
      <c r="I19" s="296">
        <v>6.02</v>
      </c>
    </row>
    <row r="20" spans="2:9" ht="13.5" customHeight="1" x14ac:dyDescent="0.2">
      <c r="B20" s="229">
        <v>13</v>
      </c>
      <c r="C20" s="60" t="s">
        <v>360</v>
      </c>
      <c r="D20" s="65" t="s">
        <v>82</v>
      </c>
      <c r="E20" s="69">
        <v>41674</v>
      </c>
      <c r="F20" s="65" t="s">
        <v>213</v>
      </c>
      <c r="G20" s="297">
        <v>325.87</v>
      </c>
      <c r="H20" s="296">
        <v>0.217</v>
      </c>
      <c r="I20" s="296">
        <v>5.96</v>
      </c>
    </row>
    <row r="21" spans="2:9" ht="13.5" customHeight="1" x14ac:dyDescent="0.2">
      <c r="B21" s="229">
        <v>14</v>
      </c>
      <c r="C21" s="60" t="s">
        <v>361</v>
      </c>
      <c r="D21" s="65" t="s">
        <v>82</v>
      </c>
      <c r="E21" s="69">
        <v>41183</v>
      </c>
      <c r="F21" s="65" t="s">
        <v>336</v>
      </c>
      <c r="G21" s="297">
        <v>574.23</v>
      </c>
      <c r="H21" s="296">
        <v>1.87</v>
      </c>
      <c r="I21" s="296">
        <v>5.51</v>
      </c>
    </row>
    <row r="22" spans="2:9" ht="13.5" customHeight="1" x14ac:dyDescent="0.2">
      <c r="B22" s="229">
        <v>15</v>
      </c>
      <c r="C22" s="60" t="s">
        <v>362</v>
      </c>
      <c r="D22" s="65" t="s">
        <v>82</v>
      </c>
      <c r="E22" s="69">
        <v>41047</v>
      </c>
      <c r="F22" s="65" t="s">
        <v>212</v>
      </c>
      <c r="G22" s="297">
        <v>3230.86</v>
      </c>
      <c r="H22" s="296">
        <v>0.60599999999999998</v>
      </c>
      <c r="I22" s="296">
        <v>5.35</v>
      </c>
    </row>
    <row r="23" spans="2:9" ht="13.5" customHeight="1" x14ac:dyDescent="0.2">
      <c r="B23" s="229">
        <v>16</v>
      </c>
      <c r="C23" s="60" t="s">
        <v>363</v>
      </c>
      <c r="D23" s="65" t="s">
        <v>82</v>
      </c>
      <c r="E23" s="69">
        <v>40925</v>
      </c>
      <c r="F23" s="65" t="s">
        <v>336</v>
      </c>
      <c r="G23" s="297">
        <v>140.1</v>
      </c>
      <c r="H23" s="296">
        <v>0.44500000000000001</v>
      </c>
      <c r="I23" s="296">
        <v>5.13</v>
      </c>
    </row>
    <row r="24" spans="2:9" ht="13.5" customHeight="1" x14ac:dyDescent="0.2">
      <c r="B24" s="229">
        <v>17</v>
      </c>
      <c r="C24" s="60" t="s">
        <v>364</v>
      </c>
      <c r="D24" s="65" t="s">
        <v>82</v>
      </c>
      <c r="E24" s="69">
        <v>40912</v>
      </c>
      <c r="F24" s="65" t="s">
        <v>212</v>
      </c>
      <c r="G24" s="297">
        <v>64.41</v>
      </c>
      <c r="H24" s="296">
        <v>0.443</v>
      </c>
      <c r="I24" s="296">
        <v>5.04</v>
      </c>
    </row>
    <row r="25" spans="2:9" ht="13.5" customHeight="1" x14ac:dyDescent="0.2">
      <c r="B25" s="229">
        <v>18</v>
      </c>
      <c r="C25" s="60" t="s">
        <v>365</v>
      </c>
      <c r="D25" s="65" t="s">
        <v>82</v>
      </c>
      <c r="E25" s="69">
        <v>41163</v>
      </c>
      <c r="F25" s="65" t="s">
        <v>212</v>
      </c>
      <c r="G25" s="297">
        <v>29.53</v>
      </c>
      <c r="H25" s="296">
        <v>0.75</v>
      </c>
      <c r="I25" s="296">
        <v>4.8899999999999997</v>
      </c>
    </row>
    <row r="26" spans="2:9" ht="13.5" customHeight="1" x14ac:dyDescent="0.2">
      <c r="B26" s="229">
        <v>19</v>
      </c>
      <c r="C26" s="60" t="s">
        <v>366</v>
      </c>
      <c r="D26" s="65" t="s">
        <v>367</v>
      </c>
      <c r="E26" s="69">
        <v>41030</v>
      </c>
      <c r="F26" s="65" t="s">
        <v>212</v>
      </c>
      <c r="G26" s="297">
        <v>23375.74</v>
      </c>
      <c r="H26" s="296">
        <v>0.13100000000000001</v>
      </c>
      <c r="I26" s="296">
        <v>3.77</v>
      </c>
    </row>
    <row r="27" spans="2:9" ht="13.5" customHeight="1" x14ac:dyDescent="0.2">
      <c r="B27" s="229">
        <v>20</v>
      </c>
      <c r="C27" s="60" t="s">
        <v>323</v>
      </c>
      <c r="D27" s="65" t="s">
        <v>82</v>
      </c>
      <c r="E27" s="69">
        <v>40998</v>
      </c>
      <c r="F27" s="65" t="s">
        <v>213</v>
      </c>
      <c r="G27" s="297">
        <v>416.8</v>
      </c>
      <c r="H27" s="296">
        <v>0.156</v>
      </c>
      <c r="I27" s="296">
        <v>3.38</v>
      </c>
    </row>
    <row r="28" spans="2:9" ht="13.5" customHeight="1" x14ac:dyDescent="0.2">
      <c r="B28" s="229">
        <v>21</v>
      </c>
      <c r="C28" s="60" t="s">
        <v>368</v>
      </c>
      <c r="D28" s="65" t="s">
        <v>82</v>
      </c>
      <c r="E28" s="69">
        <v>40848</v>
      </c>
      <c r="F28" s="65" t="s">
        <v>212</v>
      </c>
      <c r="G28" s="297">
        <v>95.73</v>
      </c>
      <c r="H28" s="296">
        <v>0.30399999999999999</v>
      </c>
      <c r="I28" s="296">
        <v>3.32</v>
      </c>
    </row>
    <row r="29" spans="2:9" ht="13.5" customHeight="1" x14ac:dyDescent="0.2">
      <c r="B29" s="229">
        <v>22</v>
      </c>
      <c r="C29" s="60" t="s">
        <v>332</v>
      </c>
      <c r="D29" s="65" t="s">
        <v>82</v>
      </c>
      <c r="E29" s="69">
        <v>41851</v>
      </c>
      <c r="F29" s="65" t="s">
        <v>213</v>
      </c>
      <c r="G29" s="297">
        <v>7.13</v>
      </c>
      <c r="H29" s="296">
        <v>8.5999999999999993E-2</v>
      </c>
      <c r="I29" s="296">
        <v>2.15</v>
      </c>
    </row>
    <row r="30" spans="2:9" ht="13.5" customHeight="1" x14ac:dyDescent="0.2">
      <c r="B30" s="229">
        <v>23</v>
      </c>
      <c r="C30" s="60" t="s">
        <v>369</v>
      </c>
      <c r="D30" s="65" t="s">
        <v>82</v>
      </c>
      <c r="E30" s="69">
        <v>41079</v>
      </c>
      <c r="F30" s="65" t="s">
        <v>212</v>
      </c>
      <c r="G30" s="297">
        <v>124.74</v>
      </c>
      <c r="H30" s="296">
        <v>0.04</v>
      </c>
      <c r="I30" s="296">
        <v>1.9</v>
      </c>
    </row>
    <row r="31" spans="2:9" ht="6.75" customHeight="1" x14ac:dyDescent="0.2">
      <c r="B31" s="56"/>
      <c r="C31" s="56"/>
      <c r="D31" s="56"/>
      <c r="E31" s="56"/>
      <c r="F31" s="56"/>
      <c r="G31" s="56"/>
      <c r="H31" s="56"/>
      <c r="I31" s="56"/>
    </row>
    <row r="32" spans="2:9" ht="13.5" customHeight="1" x14ac:dyDescent="0.2">
      <c r="B32" s="56"/>
      <c r="C32" s="56"/>
      <c r="D32" s="56"/>
      <c r="E32" s="56"/>
      <c r="F32" s="107" t="s">
        <v>103</v>
      </c>
      <c r="G32" s="109">
        <f>+AVERAGE(G8:G30)</f>
        <v>2693.699130434783</v>
      </c>
      <c r="H32" s="108">
        <f>+AVERAGE(H8:H30)</f>
        <v>0.42173913043478267</v>
      </c>
      <c r="I32" s="108">
        <f>+AVERAGE(I8:I30)</f>
        <v>6.9582608695652173</v>
      </c>
    </row>
    <row r="33" spans="2:10" ht="3.75" customHeight="1" x14ac:dyDescent="0.2">
      <c r="B33" s="56"/>
      <c r="C33" s="56"/>
      <c r="D33" s="56"/>
      <c r="E33" s="56"/>
      <c r="F33" s="56"/>
      <c r="G33" s="56"/>
      <c r="H33" s="56"/>
      <c r="I33" s="56"/>
    </row>
    <row r="34" spans="2:10" ht="13.5" customHeight="1" x14ac:dyDescent="0.2">
      <c r="B34" s="56"/>
      <c r="C34" s="56"/>
      <c r="D34" s="56"/>
      <c r="E34" s="56"/>
      <c r="F34" s="433" t="s">
        <v>88</v>
      </c>
      <c r="G34" s="433"/>
      <c r="H34" s="56"/>
      <c r="I34" s="56"/>
    </row>
    <row r="35" spans="2:10" ht="13.5" customHeight="1" x14ac:dyDescent="0.2">
      <c r="B35" s="56"/>
      <c r="C35" s="56"/>
      <c r="D35" s="56"/>
      <c r="E35" s="56"/>
      <c r="F35" s="434" t="s">
        <v>89</v>
      </c>
      <c r="G35" s="434"/>
      <c r="H35" s="61">
        <v>0.1</v>
      </c>
      <c r="I35" s="61">
        <f>+H35</f>
        <v>0.1</v>
      </c>
    </row>
    <row r="36" spans="2:10" ht="13.5" customHeight="1" x14ac:dyDescent="0.2">
      <c r="B36" s="56"/>
      <c r="C36" s="56"/>
      <c r="D36" s="56"/>
      <c r="E36" s="56"/>
      <c r="F36" s="435" t="s">
        <v>143</v>
      </c>
      <c r="G36" s="434"/>
      <c r="H36" s="61">
        <v>0.1</v>
      </c>
      <c r="I36" s="61">
        <f>+H36</f>
        <v>0.1</v>
      </c>
    </row>
    <row r="37" spans="2:10" ht="13.5" customHeight="1" x14ac:dyDescent="0.2">
      <c r="B37" s="56"/>
      <c r="C37" s="56"/>
      <c r="D37" s="56"/>
      <c r="E37" s="56"/>
      <c r="F37" s="433" t="s">
        <v>90</v>
      </c>
      <c r="G37" s="433"/>
      <c r="H37" s="66">
        <f>+SUM(H35:H36)</f>
        <v>0.2</v>
      </c>
      <c r="I37" s="66">
        <f>+SUM(I35:I36)</f>
        <v>0.2</v>
      </c>
    </row>
    <row r="38" spans="2:10" ht="5.25" customHeight="1" thickBot="1" x14ac:dyDescent="0.25">
      <c r="B38" s="56"/>
      <c r="C38" s="56"/>
      <c r="D38" s="56"/>
      <c r="E38" s="56"/>
      <c r="F38" s="56"/>
      <c r="G38" s="56"/>
      <c r="H38" s="56"/>
      <c r="I38" s="56"/>
    </row>
    <row r="39" spans="2:10" ht="13.5" customHeight="1" thickBot="1" x14ac:dyDescent="0.25">
      <c r="B39" s="56"/>
      <c r="C39" s="56"/>
      <c r="D39" s="56"/>
      <c r="E39" s="56"/>
      <c r="F39" s="436" t="s">
        <v>91</v>
      </c>
      <c r="G39" s="437"/>
      <c r="H39" s="113">
        <f>+H32*(1-H37)</f>
        <v>0.33739130434782616</v>
      </c>
      <c r="I39" s="114">
        <f>+I32*(1-I37)</f>
        <v>5.5666086956521745</v>
      </c>
    </row>
    <row r="40" spans="2:10" ht="13.5" customHeight="1" x14ac:dyDescent="0.2">
      <c r="B40" s="56"/>
      <c r="C40" s="56"/>
      <c r="D40" s="56"/>
      <c r="E40" s="56"/>
      <c r="F40" s="56"/>
      <c r="G40" s="56"/>
      <c r="H40" s="56"/>
      <c r="I40" s="56"/>
    </row>
    <row r="41" spans="2:10" ht="13.5" customHeight="1" x14ac:dyDescent="0.2">
      <c r="F41" s="56"/>
      <c r="G41" s="56"/>
      <c r="H41" s="56"/>
      <c r="I41" s="56"/>
      <c r="J41" s="56"/>
    </row>
    <row r="42" spans="2:10" ht="13.5" customHeight="1" x14ac:dyDescent="0.2">
      <c r="F42" s="56"/>
      <c r="G42" s="56"/>
      <c r="H42" s="56"/>
      <c r="I42" s="56"/>
      <c r="J42" s="56"/>
    </row>
    <row r="43" spans="2:10" ht="13.5" customHeight="1" x14ac:dyDescent="0.2">
      <c r="F43" s="56"/>
      <c r="G43" s="56"/>
      <c r="H43" s="56"/>
      <c r="I43" s="56"/>
      <c r="J43" s="56"/>
    </row>
  </sheetData>
  <mergeCells count="5">
    <mergeCell ref="F34:G34"/>
    <mergeCell ref="F35:G35"/>
    <mergeCell ref="F36:G36"/>
    <mergeCell ref="F37:G37"/>
    <mergeCell ref="F39:G39"/>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P34"/>
  <sheetViews>
    <sheetView showGridLines="0" workbookViewId="0">
      <selection activeCell="L44" sqref="L44"/>
    </sheetView>
  </sheetViews>
  <sheetFormatPr baseColWidth="10" defaultRowHeight="12.75" x14ac:dyDescent="0.2"/>
  <cols>
    <col min="1" max="1" width="2.625" style="155" customWidth="1"/>
    <col min="2" max="2" width="11" style="155"/>
    <col min="3" max="3" width="5.75" style="155" customWidth="1"/>
    <col min="4" max="4" width="11.125" style="155" customWidth="1"/>
    <col min="5" max="5" width="6" style="155" customWidth="1"/>
    <col min="6" max="6" width="11.375" style="155" bestFit="1" customWidth="1"/>
    <col min="7" max="8" width="12" style="155" customWidth="1"/>
    <col min="9" max="9" width="9.75" style="155" customWidth="1"/>
    <col min="10" max="12" width="12" style="155" customWidth="1"/>
    <col min="13" max="13" width="4.25" style="155" customWidth="1"/>
    <col min="14" max="14" width="13.375" style="155" bestFit="1" customWidth="1"/>
    <col min="15" max="15" width="4.25" style="155" customWidth="1"/>
    <col min="16" max="16" width="11.625" style="155" hidden="1" customWidth="1"/>
    <col min="17" max="17" width="11" style="155"/>
    <col min="18" max="18" width="0" style="155" hidden="1" customWidth="1"/>
    <col min="19" max="16384" width="11" style="155"/>
  </cols>
  <sheetData>
    <row r="1" spans="1:11" s="157" customFormat="1" ht="15.75" x14ac:dyDescent="0.25">
      <c r="B1" s="188" t="str">
        <f>+'&gt;&gt;LP Modelo '!B2</f>
        <v>LP</v>
      </c>
    </row>
    <row r="2" spans="1:11" s="157" customFormat="1" x14ac:dyDescent="0.2">
      <c r="B2" s="190" t="s">
        <v>187</v>
      </c>
    </row>
    <row r="3" spans="1:11" s="157" customFormat="1" x14ac:dyDescent="0.2"/>
    <row r="5" spans="1:11" x14ac:dyDescent="0.2">
      <c r="A5" s="155" t="s">
        <v>132</v>
      </c>
      <c r="B5" s="156" t="s">
        <v>188</v>
      </c>
      <c r="C5" s="157"/>
      <c r="D5" s="157"/>
      <c r="E5" s="157"/>
      <c r="F5" s="157"/>
      <c r="G5" s="157"/>
      <c r="H5" s="157"/>
      <c r="I5" s="157"/>
      <c r="J5" s="157"/>
      <c r="K5" s="157"/>
    </row>
    <row r="7" spans="1:11" x14ac:dyDescent="0.2">
      <c r="B7" s="265" t="s">
        <v>265</v>
      </c>
      <c r="F7" s="158">
        <f>+WACC!$H$14</f>
        <v>0.14999316554950823</v>
      </c>
    </row>
    <row r="8" spans="1:11" hidden="1" x14ac:dyDescent="0.2">
      <c r="B8" s="155" t="s">
        <v>160</v>
      </c>
      <c r="F8" s="158">
        <v>5.0000000000000001E-3</v>
      </c>
    </row>
    <row r="9" spans="1:11" x14ac:dyDescent="0.2">
      <c r="B9" s="155" t="s">
        <v>189</v>
      </c>
      <c r="F9" s="159">
        <v>42005</v>
      </c>
    </row>
    <row r="10" spans="1:11" x14ac:dyDescent="0.2">
      <c r="B10" s="155" t="s">
        <v>190</v>
      </c>
      <c r="F10" s="158">
        <v>0.03</v>
      </c>
    </row>
    <row r="11" spans="1:11" hidden="1" x14ac:dyDescent="0.2">
      <c r="B11" s="155" t="s">
        <v>160</v>
      </c>
      <c r="F11" s="158">
        <v>5.0000000000000001E-3</v>
      </c>
    </row>
    <row r="12" spans="1:11" x14ac:dyDescent="0.2">
      <c r="B12" s="155" t="s">
        <v>191</v>
      </c>
      <c r="F12" s="160">
        <f>+'&gt;&gt;LP Modelo '!F118</f>
        <v>0</v>
      </c>
    </row>
    <row r="13" spans="1:11" x14ac:dyDescent="0.2">
      <c r="B13" s="341" t="s">
        <v>405</v>
      </c>
      <c r="F13" s="372">
        <f>+'&gt;&gt;LP Modelo '!H79/1000</f>
        <v>4672.2587800000001</v>
      </c>
    </row>
    <row r="14" spans="1:11" hidden="1" x14ac:dyDescent="0.2">
      <c r="B14" s="155" t="s">
        <v>192</v>
      </c>
      <c r="F14" s="121">
        <f>+'&gt;&gt;LP Modelo '!J54</f>
        <v>55029.90753759144</v>
      </c>
    </row>
    <row r="15" spans="1:11" hidden="1" x14ac:dyDescent="0.2">
      <c r="B15" s="155" t="s">
        <v>193</v>
      </c>
      <c r="F15" s="121">
        <f>+'&gt;&gt;LP Modelo '!K54</f>
        <v>2804666.0261402274</v>
      </c>
    </row>
    <row r="17" spans="1:11" x14ac:dyDescent="0.2">
      <c r="A17" s="155" t="s">
        <v>132</v>
      </c>
      <c r="B17" s="156" t="s">
        <v>194</v>
      </c>
      <c r="C17" s="157"/>
      <c r="D17" s="157"/>
      <c r="E17" s="157"/>
      <c r="F17" s="157"/>
      <c r="G17" s="157"/>
      <c r="H17" s="157"/>
      <c r="I17" s="157"/>
      <c r="J17" s="157"/>
      <c r="K17" s="157"/>
    </row>
    <row r="19" spans="1:11" x14ac:dyDescent="0.2">
      <c r="B19" s="161"/>
      <c r="C19" s="161"/>
      <c r="D19" s="161"/>
      <c r="E19" s="161"/>
      <c r="F19" s="161">
        <f>+'&gt;&gt;LP Modelo '!J6</f>
        <v>2015</v>
      </c>
      <c r="G19" s="161">
        <f>+'&gt;&gt;LP Modelo '!K6</f>
        <v>2016</v>
      </c>
      <c r="H19" s="161">
        <f>+'&gt;&gt;LP Modelo '!L6</f>
        <v>2017</v>
      </c>
      <c r="I19" s="161">
        <f>+'&gt;&gt;LP Modelo '!M6</f>
        <v>2018</v>
      </c>
      <c r="J19" s="161">
        <f>+'&gt;&gt;LP Modelo '!N6</f>
        <v>2019</v>
      </c>
    </row>
    <row r="20" spans="1:11" s="163" customFormat="1" ht="5.0999999999999996" customHeight="1" x14ac:dyDescent="0.2">
      <c r="C20" s="164"/>
      <c r="D20" s="164"/>
      <c r="E20" s="164"/>
      <c r="F20" s="164"/>
      <c r="G20" s="164"/>
      <c r="H20" s="164"/>
      <c r="I20" s="164"/>
      <c r="J20" s="164"/>
    </row>
    <row r="21" spans="1:11" x14ac:dyDescent="0.2">
      <c r="B21" s="155" t="s">
        <v>189</v>
      </c>
      <c r="F21" s="165">
        <f>+F9</f>
        <v>42005</v>
      </c>
      <c r="G21" s="165">
        <f t="shared" ref="G21:J21" si="0">+F21</f>
        <v>42005</v>
      </c>
      <c r="H21" s="165">
        <f t="shared" si="0"/>
        <v>42005</v>
      </c>
      <c r="I21" s="165">
        <f t="shared" si="0"/>
        <v>42005</v>
      </c>
      <c r="J21" s="165">
        <f t="shared" si="0"/>
        <v>42005</v>
      </c>
    </row>
    <row r="22" spans="1:11" x14ac:dyDescent="0.2">
      <c r="B22" s="155" t="s">
        <v>195</v>
      </c>
      <c r="F22" s="165">
        <f>+DATE(F19,12,31)</f>
        <v>42369</v>
      </c>
      <c r="G22" s="165">
        <f>+DATE(G19,12,31)</f>
        <v>42735</v>
      </c>
      <c r="H22" s="165">
        <f t="shared" ref="H22:J22" si="1">+DATE(H19,12,31)</f>
        <v>43100</v>
      </c>
      <c r="I22" s="165">
        <f t="shared" si="1"/>
        <v>43465</v>
      </c>
      <c r="J22" s="165">
        <f t="shared" si="1"/>
        <v>43830</v>
      </c>
    </row>
    <row r="23" spans="1:11" x14ac:dyDescent="0.2">
      <c r="B23" s="166" t="s">
        <v>196</v>
      </c>
      <c r="C23" s="166"/>
      <c r="D23" s="166"/>
      <c r="E23" s="166"/>
      <c r="F23" s="167">
        <f>+(F22-F21)/365</f>
        <v>0.99726027397260275</v>
      </c>
      <c r="G23" s="167">
        <f>+((G22-F22)/365)+F23</f>
        <v>2</v>
      </c>
      <c r="H23" s="167">
        <f t="shared" ref="H23:J23" si="2">+((H22-G22)/365)+G23</f>
        <v>3</v>
      </c>
      <c r="I23" s="167">
        <f t="shared" si="2"/>
        <v>4</v>
      </c>
      <c r="J23" s="167">
        <f t="shared" si="2"/>
        <v>5</v>
      </c>
    </row>
    <row r="24" spans="1:11" x14ac:dyDescent="0.2">
      <c r="B24" s="168"/>
    </row>
    <row r="25" spans="1:11" x14ac:dyDescent="0.2">
      <c r="B25" s="161" t="s">
        <v>197</v>
      </c>
      <c r="C25" s="161"/>
      <c r="D25" s="347" t="s">
        <v>198</v>
      </c>
      <c r="E25" s="161"/>
      <c r="F25" s="161">
        <f>+F19</f>
        <v>2015</v>
      </c>
      <c r="G25" s="161">
        <f>+G19</f>
        <v>2016</v>
      </c>
      <c r="H25" s="161">
        <f>+H19</f>
        <v>2017</v>
      </c>
      <c r="I25" s="161">
        <f>+I19</f>
        <v>2018</v>
      </c>
      <c r="J25" s="161">
        <f>+J19</f>
        <v>2019</v>
      </c>
    </row>
    <row r="26" spans="1:11" x14ac:dyDescent="0.2">
      <c r="B26" s="164"/>
    </row>
    <row r="27" spans="1:11" x14ac:dyDescent="0.2">
      <c r="B27" s="164" t="s">
        <v>209</v>
      </c>
      <c r="F27" s="162">
        <f>+'&gt;&gt;LP Modelo '!J191/1000</f>
        <v>680.42815446500379</v>
      </c>
      <c r="G27" s="162">
        <f>+'&gt;&gt;LP Modelo '!K191/1000</f>
        <v>-494.02923219420063</v>
      </c>
      <c r="H27" s="162">
        <f>+'&gt;&gt;LP Modelo '!L191/1000</f>
        <v>962.62184351580049</v>
      </c>
      <c r="I27" s="162">
        <f>+'&gt;&gt;LP Modelo '!M191/1000</f>
        <v>1457.750392741521</v>
      </c>
      <c r="J27" s="162">
        <f>+'&gt;&gt;LP Modelo '!N191/1000</f>
        <v>2921.0615355945042</v>
      </c>
    </row>
    <row r="28" spans="1:11" x14ac:dyDescent="0.2">
      <c r="B28" s="412" t="s">
        <v>455</v>
      </c>
      <c r="D28" s="361"/>
      <c r="F28" s="162"/>
      <c r="G28" s="162"/>
      <c r="H28" s="162"/>
      <c r="I28" s="162"/>
      <c r="J28" s="162">
        <f>+(($J$27*(1+F$10))/($F7-F$10))/((1+$F7)^$J$23)</f>
        <v>12466.51670706715</v>
      </c>
    </row>
    <row r="29" spans="1:11" x14ac:dyDescent="0.2">
      <c r="B29" s="8" t="s">
        <v>412</v>
      </c>
      <c r="C29" s="366"/>
      <c r="D29" s="363"/>
      <c r="E29" s="366"/>
      <c r="F29" s="367">
        <f>F$27/(1+$F7)^F$23</f>
        <v>591.90676607422517</v>
      </c>
      <c r="G29" s="367">
        <f>G$27/(1+$F7)^G$23</f>
        <v>-373.56151552243762</v>
      </c>
      <c r="H29" s="367">
        <f>H$27/(1+$F7)^H$23</f>
        <v>632.95077261831534</v>
      </c>
      <c r="I29" s="367">
        <f>I$27/(1+$F7)^I$23</f>
        <v>833.49333194276699</v>
      </c>
      <c r="J29" s="367">
        <f>J$27/(1+$F7)^J$23+J28</f>
        <v>13918.843700326197</v>
      </c>
    </row>
    <row r="30" spans="1:11" ht="6" customHeight="1" x14ac:dyDescent="0.2">
      <c r="B30" s="361"/>
      <c r="C30" s="362"/>
      <c r="D30" s="363"/>
      <c r="E30" s="362"/>
      <c r="F30" s="364"/>
      <c r="G30" s="364"/>
      <c r="H30" s="364"/>
      <c r="I30" s="364"/>
      <c r="J30" s="364"/>
    </row>
    <row r="31" spans="1:11" x14ac:dyDescent="0.2">
      <c r="B31" s="371" t="s">
        <v>200</v>
      </c>
      <c r="C31" s="368"/>
      <c r="D31" s="368"/>
      <c r="E31" s="368"/>
      <c r="F31" s="369">
        <f>+SUM(F29:J29)</f>
        <v>15603.633055439066</v>
      </c>
      <c r="G31" s="364"/>
      <c r="H31" s="364"/>
      <c r="I31" s="364"/>
      <c r="J31" s="364"/>
    </row>
    <row r="32" spans="1:11" x14ac:dyDescent="0.2">
      <c r="B32" s="365" t="s">
        <v>97</v>
      </c>
      <c r="C32" s="362"/>
      <c r="D32" s="363"/>
      <c r="E32" s="362"/>
      <c r="F32" s="370">
        <f>+$F$12-$F$13</f>
        <v>-4672.2587800000001</v>
      </c>
      <c r="G32" s="364"/>
      <c r="H32" s="364"/>
      <c r="I32" s="364"/>
      <c r="J32" s="364"/>
    </row>
    <row r="33" spans="2:10" x14ac:dyDescent="0.2">
      <c r="B33" s="371" t="s">
        <v>413</v>
      </c>
      <c r="C33" s="368"/>
      <c r="D33" s="368"/>
      <c r="E33" s="368"/>
      <c r="F33" s="369">
        <f>+F31-F32</f>
        <v>20275.891835439066</v>
      </c>
      <c r="G33" s="364"/>
      <c r="H33" s="364"/>
      <c r="I33" s="364"/>
      <c r="J33" s="364"/>
    </row>
    <row r="34" spans="2:10" x14ac:dyDescent="0.2">
      <c r="B34" s="361"/>
      <c r="C34" s="362"/>
      <c r="D34" s="363"/>
      <c r="E34" s="362"/>
      <c r="F34" s="364"/>
      <c r="G34" s="364"/>
      <c r="H34" s="364"/>
      <c r="I34" s="364"/>
      <c r="J34" s="364"/>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2:O47"/>
  <sheetViews>
    <sheetView showGridLines="0" topLeftCell="A7" workbookViewId="0">
      <selection activeCell="J14" sqref="J14:L14"/>
    </sheetView>
  </sheetViews>
  <sheetFormatPr baseColWidth="10" defaultRowHeight="14.25" x14ac:dyDescent="0.2"/>
  <cols>
    <col min="1" max="1" width="4.125" customWidth="1"/>
    <col min="2" max="2" width="19.75" bestFit="1" customWidth="1"/>
    <col min="3" max="3" width="2.625" customWidth="1"/>
    <col min="4" max="4" width="11" customWidth="1"/>
    <col min="5" max="5" width="12.75" customWidth="1"/>
    <col min="6" max="6" width="2.625" customWidth="1"/>
    <col min="7" max="7" width="11.75" bestFit="1" customWidth="1"/>
    <col min="8" max="8" width="12.25" bestFit="1" customWidth="1"/>
    <col min="9" max="9" width="2.625" customWidth="1"/>
    <col min="10" max="10" width="11.75" bestFit="1" customWidth="1"/>
    <col min="11" max="11" width="12.25" bestFit="1" customWidth="1"/>
    <col min="12" max="12" width="2.625" customWidth="1"/>
  </cols>
  <sheetData>
    <row r="2" spans="1:12" x14ac:dyDescent="0.2">
      <c r="A2" t="s">
        <v>132</v>
      </c>
      <c r="B2" s="119" t="s">
        <v>157</v>
      </c>
      <c r="C2" s="119"/>
      <c r="D2" s="345"/>
      <c r="E2" s="90"/>
      <c r="F2" s="91"/>
      <c r="G2" s="91"/>
    </row>
    <row r="3" spans="1:12" x14ac:dyDescent="0.2">
      <c r="E3" s="424" t="s">
        <v>163</v>
      </c>
      <c r="F3" s="424"/>
      <c r="G3" s="424"/>
    </row>
    <row r="4" spans="1:12" ht="5.0999999999999996" customHeight="1" x14ac:dyDescent="0.2">
      <c r="F4" s="346"/>
      <c r="G4" s="346"/>
    </row>
    <row r="5" spans="1:12" x14ac:dyDescent="0.2">
      <c r="B5" s="95" t="s">
        <v>161</v>
      </c>
      <c r="C5" s="95"/>
      <c r="D5" s="121">
        <f>+'&gt;&gt;LP Modelo '!F$13/1000</f>
        <v>104171.929</v>
      </c>
    </row>
    <row r="6" spans="1:12" x14ac:dyDescent="0.2">
      <c r="B6" s="93" t="s">
        <v>164</v>
      </c>
      <c r="C6" s="93"/>
      <c r="D6" s="121">
        <f>+'&gt;&gt;LP Modelo '!G$13/1000</f>
        <v>106578.20739386666</v>
      </c>
    </row>
    <row r="7" spans="1:12" x14ac:dyDescent="0.2">
      <c r="B7" s="93" t="s">
        <v>162</v>
      </c>
      <c r="C7" s="93"/>
      <c r="D7" s="121">
        <f>+'&gt;&gt;LP Modelo '!J$13/1000</f>
        <v>112038.49913546669</v>
      </c>
    </row>
    <row r="8" spans="1:12" x14ac:dyDescent="0.2">
      <c r="B8" s="95" t="s">
        <v>158</v>
      </c>
      <c r="C8" s="95"/>
      <c r="D8" s="121">
        <f>+'&gt;&gt;LP Modelo '!F$54/1000</f>
        <v>2274.2967200000076</v>
      </c>
    </row>
    <row r="9" spans="1:12" x14ac:dyDescent="0.2">
      <c r="B9" s="93" t="s">
        <v>166</v>
      </c>
      <c r="C9" s="93"/>
      <c r="D9" s="121">
        <f>+'&gt;&gt;LP Modelo '!G$54/1000</f>
        <v>1948.7012259585322</v>
      </c>
    </row>
    <row r="10" spans="1:12" x14ac:dyDescent="0.2">
      <c r="B10" s="95" t="s">
        <v>159</v>
      </c>
      <c r="C10" s="95"/>
      <c r="D10" s="121">
        <f>+'&gt;&gt;LP Modelo '!J$54/1000</f>
        <v>55.029907537591441</v>
      </c>
    </row>
    <row r="11" spans="1:12" x14ac:dyDescent="0.2">
      <c r="B11" s="125" t="s">
        <v>160</v>
      </c>
      <c r="C11" s="125"/>
      <c r="D11" s="121">
        <v>0</v>
      </c>
    </row>
    <row r="13" spans="1:12" x14ac:dyDescent="0.2">
      <c r="A13" t="s">
        <v>132</v>
      </c>
      <c r="B13" s="119" t="s">
        <v>165</v>
      </c>
      <c r="C13" s="119"/>
      <c r="D13" s="345"/>
      <c r="E13" s="90"/>
      <c r="F13" s="91"/>
      <c r="G13" s="91"/>
      <c r="H13" s="91"/>
      <c r="I13" s="91"/>
      <c r="J13" s="91"/>
      <c r="K13" s="91"/>
      <c r="L13" s="91"/>
    </row>
    <row r="14" spans="1:12" x14ac:dyDescent="0.2">
      <c r="B14" s="441" t="s">
        <v>104</v>
      </c>
      <c r="C14" s="442"/>
      <c r="D14" s="442"/>
      <c r="E14" s="127"/>
      <c r="F14" s="127"/>
      <c r="G14" s="127"/>
      <c r="J14" s="422" t="s">
        <v>104</v>
      </c>
      <c r="K14" s="423"/>
      <c r="L14" s="423"/>
    </row>
    <row r="15" spans="1:12" ht="5.0999999999999996" customHeight="1" x14ac:dyDescent="0.2">
      <c r="F15" s="346"/>
      <c r="G15" s="346"/>
    </row>
    <row r="16" spans="1:12" x14ac:dyDescent="0.2">
      <c r="D16" s="11" t="str">
        <f>+$B$5</f>
        <v>Ventas 2013</v>
      </c>
      <c r="E16" s="11" t="str">
        <f>+$B$8</f>
        <v>EBITDA 2013</v>
      </c>
      <c r="G16" s="11" t="str">
        <f>+$B$6</f>
        <v>Ventas 2014 E</v>
      </c>
      <c r="H16" s="11" t="str">
        <f>+$B$9</f>
        <v>EBITDA 2014 E</v>
      </c>
      <c r="J16" s="11" t="str">
        <f>+$B$7</f>
        <v>Ventas 2015 E</v>
      </c>
      <c r="K16" s="11" t="str">
        <f>+$B$10</f>
        <v>EBITDA 2015 E</v>
      </c>
    </row>
    <row r="17" spans="1:12" x14ac:dyDescent="0.2">
      <c r="B17" s="75" t="s">
        <v>99</v>
      </c>
      <c r="C17" s="75"/>
      <c r="D17" s="94">
        <f>+$D$5</f>
        <v>104171.929</v>
      </c>
      <c r="E17" s="94">
        <f>+$D$8</f>
        <v>2274.2967200000076</v>
      </c>
      <c r="G17" s="94">
        <f>+$D$6</f>
        <v>106578.20739386666</v>
      </c>
      <c r="H17" s="94">
        <f>+$D$9</f>
        <v>1948.7012259585322</v>
      </c>
      <c r="I17" s="94"/>
      <c r="J17" s="94">
        <f>+$D$7</f>
        <v>112038.49913546669</v>
      </c>
      <c r="K17" s="94">
        <f>+$D$10</f>
        <v>55.029907537591441</v>
      </c>
    </row>
    <row r="18" spans="1:12" x14ac:dyDescent="0.2">
      <c r="B18" s="122" t="s">
        <v>93</v>
      </c>
      <c r="C18" s="122"/>
      <c r="D18" s="117">
        <f>+'Multiplos Sector'!E29</f>
        <v>0.29720000000000002</v>
      </c>
      <c r="E18" s="117">
        <f>+'Multiplos Sector'!F29</f>
        <v>6.4106666666666676</v>
      </c>
      <c r="G18" s="117">
        <f>+D18</f>
        <v>0.29720000000000002</v>
      </c>
      <c r="H18" s="117">
        <f>+E18</f>
        <v>6.4106666666666676</v>
      </c>
      <c r="I18" s="117"/>
      <c r="J18" s="348">
        <f>+D18</f>
        <v>0.29720000000000002</v>
      </c>
      <c r="K18" s="348">
        <f>+E18</f>
        <v>6.4106666666666676</v>
      </c>
    </row>
    <row r="19" spans="1:12" x14ac:dyDescent="0.2">
      <c r="B19" s="75" t="s">
        <v>94</v>
      </c>
      <c r="C19" s="75"/>
      <c r="D19" s="192">
        <f>+D17*D18</f>
        <v>30959.897298800002</v>
      </c>
      <c r="E19" s="192">
        <f t="shared" ref="E19:K19" si="0">+E17*E18</f>
        <v>14579.758173013384</v>
      </c>
      <c r="G19" s="192">
        <f t="shared" si="0"/>
        <v>31675.043237457172</v>
      </c>
      <c r="H19" s="192">
        <f t="shared" si="0"/>
        <v>12492.473992544832</v>
      </c>
      <c r="I19" s="192"/>
      <c r="J19" s="192">
        <f t="shared" si="0"/>
        <v>33297.841943060703</v>
      </c>
      <c r="K19" s="192">
        <f t="shared" si="0"/>
        <v>352.77839392098628</v>
      </c>
    </row>
    <row r="20" spans="1:12" x14ac:dyDescent="0.2">
      <c r="B20" s="123" t="s">
        <v>95</v>
      </c>
      <c r="C20" s="123"/>
      <c r="D20" s="193">
        <f>+'&gt;&gt;LP Modelo '!$F$118/1000000</f>
        <v>0</v>
      </c>
      <c r="E20" s="193">
        <f>+D20</f>
        <v>0</v>
      </c>
      <c r="G20" s="193">
        <f>+'&gt;&gt;LP Modelo '!$G$118/1000000</f>
        <v>0</v>
      </c>
      <c r="H20" s="193">
        <f>+G20</f>
        <v>0</v>
      </c>
      <c r="I20" s="193"/>
      <c r="J20" s="194">
        <f>+'&gt;&gt;LP Modelo '!$J$118/1000000</f>
        <v>0</v>
      </c>
      <c r="K20" s="194">
        <f>+J20</f>
        <v>0</v>
      </c>
    </row>
    <row r="21" spans="1:12" x14ac:dyDescent="0.2">
      <c r="B21" s="123" t="s">
        <v>96</v>
      </c>
      <c r="C21" s="123"/>
      <c r="D21" s="193">
        <f>+'&gt;&gt;LP Modelo '!$F$79/1000</f>
        <v>3870.1170000000002</v>
      </c>
      <c r="E21" s="193">
        <f>+D21</f>
        <v>3870.1170000000002</v>
      </c>
      <c r="G21" s="193">
        <f>+'&gt;&gt;LP Modelo '!$H$79/1000</f>
        <v>4672.2587800000001</v>
      </c>
      <c r="H21" s="193">
        <f>+G21</f>
        <v>4672.2587800000001</v>
      </c>
      <c r="I21" s="1"/>
      <c r="J21" s="193">
        <f>+'&gt;&gt;LP Modelo '!$J$79/1000</f>
        <v>3112.1805315407414</v>
      </c>
      <c r="K21" s="193">
        <f>+J21</f>
        <v>3112.1805315407414</v>
      </c>
    </row>
    <row r="22" spans="1:12" x14ac:dyDescent="0.2">
      <c r="B22" s="75" t="s">
        <v>97</v>
      </c>
      <c r="C22" s="75"/>
      <c r="D22" s="192">
        <f>+D20-D21</f>
        <v>-3870.1170000000002</v>
      </c>
      <c r="E22" s="192">
        <f t="shared" ref="E22:K22" si="1">+E20-E21</f>
        <v>-3870.1170000000002</v>
      </c>
      <c r="G22" s="192">
        <f t="shared" si="1"/>
        <v>-4672.2587800000001</v>
      </c>
      <c r="H22" s="192">
        <f t="shared" si="1"/>
        <v>-4672.2587800000001</v>
      </c>
      <c r="I22" s="192"/>
      <c r="J22" s="192">
        <f t="shared" si="1"/>
        <v>-3112.1805315407414</v>
      </c>
      <c r="K22" s="192">
        <f t="shared" si="1"/>
        <v>-3112.1805315407414</v>
      </c>
    </row>
    <row r="23" spans="1:12" x14ac:dyDescent="0.2">
      <c r="B23" s="75" t="s">
        <v>98</v>
      </c>
      <c r="C23" s="75"/>
      <c r="D23" s="192">
        <f>+D19-D22</f>
        <v>34830.014298800001</v>
      </c>
      <c r="E23" s="192">
        <f t="shared" ref="E23:K23" si="2">+E19-E22</f>
        <v>18449.875173013384</v>
      </c>
      <c r="G23" s="192">
        <f t="shared" si="2"/>
        <v>36347.302017457172</v>
      </c>
      <c r="H23" s="192">
        <f t="shared" si="2"/>
        <v>17164.732772544834</v>
      </c>
      <c r="I23" s="192"/>
      <c r="J23" s="192">
        <f t="shared" si="2"/>
        <v>36410.022474601443</v>
      </c>
      <c r="K23" s="192">
        <f t="shared" si="2"/>
        <v>3464.9589254617276</v>
      </c>
    </row>
    <row r="24" spans="1:12" x14ac:dyDescent="0.2">
      <c r="B24" s="122" t="s">
        <v>100</v>
      </c>
      <c r="C24" s="122"/>
      <c r="D24" s="97">
        <v>0.15</v>
      </c>
      <c r="E24" s="97">
        <v>0.85</v>
      </c>
      <c r="G24" s="97">
        <v>0.4</v>
      </c>
      <c r="H24" s="97">
        <v>0.6</v>
      </c>
      <c r="I24" s="97"/>
      <c r="J24" s="97">
        <f>+G24</f>
        <v>0.4</v>
      </c>
      <c r="K24" s="97">
        <f>+H24</f>
        <v>0.6</v>
      </c>
    </row>
    <row r="25" spans="1:12" ht="15" x14ac:dyDescent="0.25">
      <c r="B25" s="124" t="s">
        <v>101</v>
      </c>
      <c r="C25" s="124"/>
      <c r="D25" s="192">
        <f>+D23*D24</f>
        <v>5224.5021448199996</v>
      </c>
      <c r="E25" s="192">
        <f>+E23*E24</f>
        <v>15682.393897061376</v>
      </c>
      <c r="G25" s="192">
        <f>+G23*G24</f>
        <v>14538.920806982869</v>
      </c>
      <c r="H25" s="192">
        <f>+H23*H24</f>
        <v>10298.8396635269</v>
      </c>
      <c r="I25" s="49"/>
      <c r="J25" s="192">
        <f>+J23*J24</f>
        <v>14564.008989840579</v>
      </c>
      <c r="K25" s="192">
        <f>+K23*K24</f>
        <v>2078.9753552770367</v>
      </c>
    </row>
    <row r="26" spans="1:12" ht="15" x14ac:dyDescent="0.25">
      <c r="B26" s="126" t="s">
        <v>167</v>
      </c>
      <c r="C26" s="124"/>
      <c r="D26" s="425">
        <f>+D25+E25</f>
        <v>20906.896041881377</v>
      </c>
      <c r="E26" s="426"/>
      <c r="G26" s="425">
        <f>+G25+H25</f>
        <v>24837.760470509769</v>
      </c>
      <c r="H26" s="426"/>
      <c r="J26" s="425">
        <f>+J25+K25</f>
        <v>16642.984345117617</v>
      </c>
      <c r="K26" s="426"/>
    </row>
    <row r="30" spans="1:12" x14ac:dyDescent="0.2">
      <c r="A30" t="s">
        <v>132</v>
      </c>
      <c r="B30" s="128" t="s">
        <v>168</v>
      </c>
      <c r="C30" s="128"/>
      <c r="D30" s="345"/>
      <c r="E30" s="90"/>
      <c r="F30" s="91"/>
      <c r="G30" s="91"/>
      <c r="H30" s="91"/>
      <c r="I30" s="91"/>
      <c r="J30" s="91"/>
      <c r="K30" s="91"/>
      <c r="L30" s="91"/>
    </row>
    <row r="31" spans="1:12" x14ac:dyDescent="0.2">
      <c r="B31" s="441" t="str">
        <f>+$J$14</f>
        <v>Cifras en miles de pesos</v>
      </c>
      <c r="C31" s="442"/>
      <c r="D31" s="442"/>
      <c r="E31" s="127"/>
      <c r="F31" s="127"/>
      <c r="G31" s="127"/>
      <c r="J31" s="422" t="str">
        <f>+$J$14</f>
        <v>Cifras en miles de pesos</v>
      </c>
      <c r="K31" s="423"/>
      <c r="L31" s="423"/>
    </row>
    <row r="32" spans="1:12" ht="5.0999999999999996" customHeight="1" x14ac:dyDescent="0.2">
      <c r="F32" s="346"/>
      <c r="G32" s="346"/>
    </row>
    <row r="33" spans="1:15" x14ac:dyDescent="0.2">
      <c r="D33" s="11" t="str">
        <f>+$B$5</f>
        <v>Ventas 2013</v>
      </c>
      <c r="E33" s="11" t="str">
        <f>+$B$8</f>
        <v>EBITDA 2013</v>
      </c>
      <c r="G33" s="11" t="str">
        <f>+$B$6</f>
        <v>Ventas 2014 E</v>
      </c>
      <c r="H33" s="11" t="str">
        <f>+$B$9</f>
        <v>EBITDA 2014 E</v>
      </c>
      <c r="J33" s="11" t="str">
        <f>+$B$7</f>
        <v>Ventas 2015 E</v>
      </c>
      <c r="K33" s="11" t="str">
        <f>+$B$10</f>
        <v>EBITDA 2015 E</v>
      </c>
    </row>
    <row r="34" spans="1:15" x14ac:dyDescent="0.2">
      <c r="B34" s="75" t="s">
        <v>99</v>
      </c>
      <c r="C34" s="75"/>
      <c r="D34" s="94">
        <f>+'&gt;&gt;LP Modelo '!D13/1000</f>
        <v>131159.476</v>
      </c>
      <c r="E34" s="94">
        <f>+'&gt;&gt;LP Modelo '!D54/1000</f>
        <v>7943.6911800000071</v>
      </c>
      <c r="F34" s="94"/>
      <c r="G34" s="94">
        <f>+$D$6</f>
        <v>106578.20739386666</v>
      </c>
      <c r="H34" s="94">
        <f>+$D$9</f>
        <v>1948.7012259585322</v>
      </c>
      <c r="I34" s="94"/>
      <c r="J34" s="94">
        <f>+$D$7</f>
        <v>112038.49913546669</v>
      </c>
      <c r="K34" s="94">
        <f>+$D$10</f>
        <v>55.029907537591441</v>
      </c>
    </row>
    <row r="35" spans="1:15" x14ac:dyDescent="0.2">
      <c r="B35" s="122" t="s">
        <v>93</v>
      </c>
      <c r="C35" s="122"/>
      <c r="D35" s="117">
        <f>+'Ventas Sector'!H39</f>
        <v>0.33739130434782616</v>
      </c>
      <c r="E35" s="117">
        <f>+'Ventas Sector'!I39</f>
        <v>5.5666086956521745</v>
      </c>
      <c r="F35" s="117"/>
      <c r="G35" s="117">
        <f>+D35</f>
        <v>0.33739130434782616</v>
      </c>
      <c r="H35" s="117">
        <f>+E35</f>
        <v>5.5666086956521745</v>
      </c>
      <c r="I35" s="117"/>
      <c r="J35" s="117">
        <f>+D35</f>
        <v>0.33739130434782616</v>
      </c>
      <c r="K35" s="117">
        <f>+E35</f>
        <v>5.5666086956521745</v>
      </c>
    </row>
    <row r="36" spans="1:15" x14ac:dyDescent="0.2">
      <c r="B36" s="75" t="s">
        <v>94</v>
      </c>
      <c r="C36" s="75"/>
      <c r="D36" s="192">
        <f>+D34*D35</f>
        <v>44252.066685217396</v>
      </c>
      <c r="E36" s="192">
        <f t="shared" ref="E36" si="3">+E34*E35</f>
        <v>44219.420398163522</v>
      </c>
      <c r="F36" s="192"/>
      <c r="G36" s="192">
        <f t="shared" ref="G36:H36" si="4">+G34*G35</f>
        <v>35958.5604076698</v>
      </c>
      <c r="H36" s="192">
        <f t="shared" si="4"/>
        <v>10847.657189648819</v>
      </c>
      <c r="I36" s="192"/>
      <c r="J36" s="192">
        <f t="shared" ref="J36:K36" si="5">+J34*J35</f>
        <v>37800.815360487897</v>
      </c>
      <c r="K36" s="192">
        <f t="shared" si="5"/>
        <v>306.32996181969168</v>
      </c>
      <c r="M36" s="422"/>
      <c r="N36" s="423"/>
      <c r="O36" s="423"/>
    </row>
    <row r="37" spans="1:15" x14ac:dyDescent="0.2">
      <c r="B37" s="123" t="s">
        <v>95</v>
      </c>
      <c r="C37" s="123"/>
      <c r="D37" s="193">
        <f>+'&gt;&gt;LP Modelo '!$F$118/1000000</f>
        <v>0</v>
      </c>
      <c r="E37" s="193">
        <f>+D37</f>
        <v>0</v>
      </c>
      <c r="F37" s="193"/>
      <c r="G37" s="193">
        <f>+'&gt;&gt;LP Modelo '!$G$118/1000000</f>
        <v>0</v>
      </c>
      <c r="H37" s="193">
        <f>+G37</f>
        <v>0</v>
      </c>
      <c r="I37" s="193"/>
      <c r="J37" s="194">
        <f>+'&gt;&gt;LP Modelo '!$J$118/1000000</f>
        <v>0</v>
      </c>
      <c r="K37" s="194">
        <f>+J37</f>
        <v>0</v>
      </c>
    </row>
    <row r="38" spans="1:15" x14ac:dyDescent="0.2">
      <c r="B38" s="123" t="s">
        <v>96</v>
      </c>
      <c r="C38" s="123"/>
      <c r="D38" s="193">
        <f>+'&gt;&gt;LP Modelo '!D79/1000</f>
        <v>801.70600000000002</v>
      </c>
      <c r="E38" s="193">
        <f>+D38</f>
        <v>801.70600000000002</v>
      </c>
      <c r="F38" s="193"/>
      <c r="G38" s="193">
        <f>+'&gt;&gt;LP Modelo '!$H$79/1000</f>
        <v>4672.2587800000001</v>
      </c>
      <c r="H38" s="193">
        <f>+G38</f>
        <v>4672.2587800000001</v>
      </c>
      <c r="I38" s="1"/>
      <c r="J38" s="193">
        <f>+'&gt;&gt;LP Modelo '!$J$79/1000</f>
        <v>3112.1805315407414</v>
      </c>
      <c r="K38" s="193">
        <f>+J38</f>
        <v>3112.1805315407414</v>
      </c>
    </row>
    <row r="39" spans="1:15" x14ac:dyDescent="0.2">
      <c r="B39" s="75" t="s">
        <v>97</v>
      </c>
      <c r="C39" s="75"/>
      <c r="D39" s="192">
        <f>+D37-D38</f>
        <v>-801.70600000000002</v>
      </c>
      <c r="E39" s="192">
        <f t="shared" ref="E39" si="6">+E37-E38</f>
        <v>-801.70600000000002</v>
      </c>
      <c r="F39" s="192"/>
      <c r="G39" s="192">
        <f t="shared" ref="G39:H39" si="7">+G37-G38</f>
        <v>-4672.2587800000001</v>
      </c>
      <c r="H39" s="192">
        <f t="shared" si="7"/>
        <v>-4672.2587800000001</v>
      </c>
      <c r="I39" s="192"/>
      <c r="J39" s="192">
        <f t="shared" ref="J39:K39" si="8">+J37-J38</f>
        <v>-3112.1805315407414</v>
      </c>
      <c r="K39" s="192">
        <f t="shared" si="8"/>
        <v>-3112.1805315407414</v>
      </c>
    </row>
    <row r="40" spans="1:15" x14ac:dyDescent="0.2">
      <c r="B40" s="75" t="s">
        <v>98</v>
      </c>
      <c r="C40" s="75"/>
      <c r="D40" s="192">
        <f>+D36-D39</f>
        <v>45053.772685217395</v>
      </c>
      <c r="E40" s="192">
        <f t="shared" ref="E40" si="9">+E36-E39</f>
        <v>45021.12639816352</v>
      </c>
      <c r="F40" s="192"/>
      <c r="G40" s="192">
        <f t="shared" ref="G40:H40" si="10">+G36-G39</f>
        <v>40630.819187669797</v>
      </c>
      <c r="H40" s="192">
        <f t="shared" si="10"/>
        <v>15519.915969648819</v>
      </c>
      <c r="I40" s="192"/>
      <c r="J40" s="192">
        <f t="shared" ref="J40:K40" si="11">+J36-J39</f>
        <v>40912.995892028637</v>
      </c>
      <c r="K40" s="192">
        <f t="shared" si="11"/>
        <v>3418.510493360433</v>
      </c>
    </row>
    <row r="41" spans="1:15" x14ac:dyDescent="0.2">
      <c r="B41" s="122" t="s">
        <v>100</v>
      </c>
      <c r="C41" s="122"/>
      <c r="D41" s="97">
        <f>+D24</f>
        <v>0.15</v>
      </c>
      <c r="E41" s="97">
        <f>+E24</f>
        <v>0.85</v>
      </c>
      <c r="F41" s="97"/>
      <c r="G41" s="97">
        <v>0.4</v>
      </c>
      <c r="H41" s="97">
        <v>0.6</v>
      </c>
      <c r="I41" s="97"/>
      <c r="J41" s="97">
        <f>+G41</f>
        <v>0.4</v>
      </c>
      <c r="K41" s="97">
        <f>+H41</f>
        <v>0.6</v>
      </c>
    </row>
    <row r="42" spans="1:15" ht="15" x14ac:dyDescent="0.25">
      <c r="B42" s="124" t="s">
        <v>101</v>
      </c>
      <c r="C42" s="124"/>
      <c r="D42" s="192">
        <f>+D40*D41</f>
        <v>6758.0659027826086</v>
      </c>
      <c r="E42" s="192">
        <f>+E40*E41</f>
        <v>38267.957438438993</v>
      </c>
      <c r="F42" s="192"/>
      <c r="G42" s="192">
        <f>+G40*G41</f>
        <v>16252.32767506792</v>
      </c>
      <c r="H42" s="192">
        <f>+H40*H41</f>
        <v>9311.9495817892912</v>
      </c>
      <c r="I42" s="49"/>
      <c r="J42" s="192">
        <f>+J40*J41</f>
        <v>16365.198356811456</v>
      </c>
      <c r="K42" s="192">
        <f>+K40*K41</f>
        <v>2051.1062960162599</v>
      </c>
    </row>
    <row r="43" spans="1:15" ht="15" x14ac:dyDescent="0.25">
      <c r="B43" s="126" t="s">
        <v>167</v>
      </c>
      <c r="C43" s="124"/>
      <c r="D43" s="425">
        <f>+D42+E42</f>
        <v>45026.023341221604</v>
      </c>
      <c r="E43" s="426"/>
      <c r="G43" s="425">
        <f>+G42+H42</f>
        <v>25564.277256857211</v>
      </c>
      <c r="H43" s="426"/>
      <c r="J43" s="425">
        <f>+J42+K42</f>
        <v>18416.304652827715</v>
      </c>
      <c r="K43" s="426"/>
    </row>
    <row r="47" spans="1:15" x14ac:dyDescent="0.2">
      <c r="A47" t="s">
        <v>132</v>
      </c>
    </row>
  </sheetData>
  <mergeCells count="12">
    <mergeCell ref="E3:G3"/>
    <mergeCell ref="J14:L14"/>
    <mergeCell ref="D26:E26"/>
    <mergeCell ref="G26:H26"/>
    <mergeCell ref="J26:K26"/>
    <mergeCell ref="M36:O36"/>
    <mergeCell ref="D43:E43"/>
    <mergeCell ref="G43:H43"/>
    <mergeCell ref="J43:K43"/>
    <mergeCell ref="B14:D14"/>
    <mergeCell ref="B31:D31"/>
    <mergeCell ref="J31:L3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BV214"/>
  <sheetViews>
    <sheetView showGridLines="0" zoomScale="115" zoomScaleNormal="115" workbookViewId="0">
      <pane xSplit="2" ySplit="6" topLeftCell="J7" activePane="bottomRight" state="frozen"/>
      <selection pane="topRight" activeCell="C1" sqref="C1"/>
      <selection pane="bottomLeft" activeCell="A7" sqref="A7"/>
      <selection pane="bottomRight" activeCell="T55" sqref="T55"/>
    </sheetView>
  </sheetViews>
  <sheetFormatPr baseColWidth="10" defaultRowHeight="11.25" outlineLevelRow="2" outlineLevelCol="1" x14ac:dyDescent="0.2"/>
  <cols>
    <col min="1" max="1" width="3.875" style="1" customWidth="1"/>
    <col min="2" max="2" width="29.625" style="1" customWidth="1"/>
    <col min="3" max="3" width="10.25" style="1" hidden="1" customWidth="1" outlineLevel="1"/>
    <col min="4" max="4" width="11" style="1" hidden="1" customWidth="1" outlineLevel="1"/>
    <col min="5" max="5" width="10.25" style="1" hidden="1" customWidth="1" outlineLevel="1"/>
    <col min="6" max="6" width="11.25" style="1" hidden="1" customWidth="1" outlineLevel="1"/>
    <col min="7" max="7" width="11" style="1" hidden="1" customWidth="1" outlineLevel="1"/>
    <col min="8" max="8" width="11.375" style="1" hidden="1" customWidth="1" outlineLevel="1"/>
    <col min="9" max="9" width="6.375" style="1" hidden="1" customWidth="1" collapsed="1"/>
    <col min="10" max="14" width="11" style="1" customWidth="1" outlineLevel="1"/>
    <col min="15" max="15" width="5.625" style="1" bestFit="1" customWidth="1"/>
    <col min="16" max="16384" width="11" style="1"/>
  </cols>
  <sheetData>
    <row r="1" spans="1:74" s="191" customFormat="1" ht="15.75" x14ac:dyDescent="0.25">
      <c r="B1" s="188" t="s">
        <v>315</v>
      </c>
    </row>
    <row r="2" spans="1:74" s="191" customFormat="1" ht="12.6" customHeight="1" x14ac:dyDescent="0.2">
      <c r="B2" s="190" t="s">
        <v>316</v>
      </c>
    </row>
    <row r="3" spans="1:74" s="191" customFormat="1" ht="12.6" customHeight="1" x14ac:dyDescent="0.2">
      <c r="B3" s="156" t="s">
        <v>211</v>
      </c>
    </row>
    <row r="4" spans="1:74" ht="12.6" customHeight="1" x14ac:dyDescent="0.2"/>
    <row r="5" spans="1:74" ht="12.75" x14ac:dyDescent="0.2">
      <c r="A5" s="1" t="s">
        <v>131</v>
      </c>
      <c r="B5" s="82" t="s">
        <v>134</v>
      </c>
      <c r="C5" s="415"/>
      <c r="D5" s="415"/>
      <c r="E5" s="415"/>
      <c r="F5" s="415"/>
      <c r="G5" s="415"/>
      <c r="H5" s="415"/>
      <c r="J5" s="415" t="s">
        <v>60</v>
      </c>
      <c r="K5" s="415"/>
      <c r="L5" s="415"/>
      <c r="M5" s="415"/>
      <c r="N5" s="415"/>
    </row>
    <row r="6" spans="1:74" ht="25.5" x14ac:dyDescent="0.2">
      <c r="B6" s="11" t="s">
        <v>5</v>
      </c>
      <c r="C6" s="11">
        <v>2010</v>
      </c>
      <c r="D6" s="11">
        <v>2011</v>
      </c>
      <c r="E6" s="11">
        <v>2012</v>
      </c>
      <c r="F6" s="11">
        <v>2013</v>
      </c>
      <c r="G6" s="15" t="s">
        <v>170</v>
      </c>
      <c r="H6" s="81" t="s">
        <v>387</v>
      </c>
      <c r="I6" s="81" t="s">
        <v>61</v>
      </c>
      <c r="J6" s="11">
        <v>2015</v>
      </c>
      <c r="K6" s="11">
        <v>2016</v>
      </c>
      <c r="L6" s="11">
        <v>2017</v>
      </c>
      <c r="M6" s="11">
        <v>2018</v>
      </c>
      <c r="N6" s="11">
        <v>2019</v>
      </c>
      <c r="O6" s="81" t="s">
        <v>62</v>
      </c>
    </row>
    <row r="7" spans="1:74" ht="3.75" customHeight="1" x14ac:dyDescent="0.2">
      <c r="B7" s="8"/>
      <c r="G7" s="16"/>
    </row>
    <row r="8" spans="1:74" ht="13.5" outlineLevel="1" x14ac:dyDescent="0.25">
      <c r="B8" s="23" t="s">
        <v>392</v>
      </c>
      <c r="C8" s="27">
        <f>+'&gt;&gt;LP Modelo '!C8/1000</f>
        <v>13182.138212699998</v>
      </c>
      <c r="D8" s="27">
        <f>+'&gt;&gt;LP Modelo '!D8/1000</f>
        <v>12809.798698099998</v>
      </c>
      <c r="E8" s="27">
        <f>+'&gt;&gt;LP Modelo '!E8/1000</f>
        <v>11863.2963944</v>
      </c>
      <c r="F8" s="27">
        <f>+'&gt;&gt;LP Modelo '!F8/1000</f>
        <v>13076.885298800004</v>
      </c>
      <c r="G8" s="17">
        <f>+'&gt;&gt;LP Modelo '!G8/1000</f>
        <v>17317.596718133333</v>
      </c>
      <c r="H8" s="27">
        <f>+'&gt;&gt;LP Modelo '!H8/1000</f>
        <v>12988.197538600001</v>
      </c>
      <c r="I8" s="230"/>
      <c r="J8" s="73">
        <f>+'&gt;&gt;LP Modelo '!J8/1000</f>
        <v>19049.356389946668</v>
      </c>
      <c r="K8" s="73">
        <f>+'&gt;&gt;LP Modelo '!K8/1000</f>
        <v>23316.412221294722</v>
      </c>
      <c r="L8" s="73">
        <f>+'&gt;&gt;LP Modelo '!L8/1000</f>
        <v>28539.28855886474</v>
      </c>
      <c r="M8" s="73">
        <f>+'&gt;&gt;LP Modelo '!M8/1000</f>
        <v>34932.089196050438</v>
      </c>
      <c r="N8" s="73">
        <f>+'&gt;&gt;LP Modelo '!N8/1000</f>
        <v>42756.877175965732</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row>
    <row r="9" spans="1:74" ht="13.5" outlineLevel="1" x14ac:dyDescent="0.25">
      <c r="B9" s="23" t="s">
        <v>395</v>
      </c>
      <c r="C9" s="27">
        <f>+'&gt;&gt;LP Modelo '!C9/1000</f>
        <v>88492.040629799987</v>
      </c>
      <c r="D9" s="27">
        <f>+'&gt;&gt;LP Modelo '!D9/1000</f>
        <v>114977.60085520004</v>
      </c>
      <c r="E9" s="27">
        <f>+'&gt;&gt;LP Modelo '!E9/1000</f>
        <v>102357.46026239997</v>
      </c>
      <c r="F9" s="27">
        <f>+'&gt;&gt;LP Modelo '!F9/1000</f>
        <v>90436.328959499966</v>
      </c>
      <c r="G9" s="17">
        <f>+'&gt;&gt;LP Modelo '!G9/1000</f>
        <v>88561.088329066668</v>
      </c>
      <c r="H9" s="27">
        <f>+'&gt;&gt;LP Modelo '!H9/1000</f>
        <v>66420.816246799994</v>
      </c>
      <c r="I9" s="230"/>
      <c r="J9" s="73">
        <f>+'&gt;&gt;LP Modelo '!J9/1000</f>
        <v>92989.142745520017</v>
      </c>
      <c r="K9" s="73">
        <f>+'&gt;&gt;LP Modelo '!K9/1000</f>
        <v>99591.37188045193</v>
      </c>
      <c r="L9" s="73">
        <f>+'&gt;&gt;LP Modelo '!L9/1000</f>
        <v>106662.35928396402</v>
      </c>
      <c r="M9" s="73">
        <f>+'&gt;&gt;LP Modelo '!M9/1000</f>
        <v>114235.38679312549</v>
      </c>
      <c r="N9" s="73">
        <f>+'&gt;&gt;LP Modelo '!N9/1000</f>
        <v>122346.09925543741</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ht="13.5" hidden="1" outlineLevel="1" x14ac:dyDescent="0.25">
      <c r="B10" s="23" t="s">
        <v>396</v>
      </c>
      <c r="C10" s="27">
        <f>+'&gt;&gt;LP Modelo '!C10/1000</f>
        <v>134.79047990000001</v>
      </c>
      <c r="D10" s="27">
        <f>+'&gt;&gt;LP Modelo '!D10/1000</f>
        <v>451.95139839999996</v>
      </c>
      <c r="E10" s="27">
        <f>+'&gt;&gt;LP Modelo '!E10/1000</f>
        <v>634.93157089999988</v>
      </c>
      <c r="F10" s="27">
        <f>+'&gt;&gt;LP Modelo '!F10/1000</f>
        <v>743.77548230000002</v>
      </c>
      <c r="G10" s="17">
        <f>+'&gt;&gt;LP Modelo '!G10/1000</f>
        <v>699.52234666666664</v>
      </c>
      <c r="H10" s="27">
        <f>+'&gt;&gt;LP Modelo '!H10/1000</f>
        <v>524.64175999999998</v>
      </c>
      <c r="I10" s="230"/>
      <c r="J10" s="73">
        <f>+'&gt;&gt;LP Modelo '!J10/1000</f>
        <v>0</v>
      </c>
      <c r="K10" s="73">
        <f>+'&gt;&gt;LP Modelo '!K10/1000</f>
        <v>0</v>
      </c>
      <c r="L10" s="73">
        <f>+'&gt;&gt;LP Modelo '!L10/1000</f>
        <v>0</v>
      </c>
      <c r="M10" s="73">
        <f>+'&gt;&gt;LP Modelo '!M10/1000</f>
        <v>0</v>
      </c>
      <c r="N10" s="73">
        <f>+'&gt;&gt;LP Modelo '!N10/1000</f>
        <v>0</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row>
    <row r="11" spans="1:74" ht="13.5" hidden="1" outlineLevel="1" x14ac:dyDescent="0.25">
      <c r="B11" s="23" t="s">
        <v>398</v>
      </c>
      <c r="C11" s="387">
        <f>+'&gt;&gt;LP Modelo '!C11/1000</f>
        <v>1679.3586776000113</v>
      </c>
      <c r="D11" s="27">
        <f>+'&gt;&gt;LP Modelo '!D11/1000</f>
        <v>2920.1250482999681</v>
      </c>
      <c r="E11" s="27">
        <f>+'&gt;&gt;LP Modelo '!E11/1000</f>
        <v>-58.97122769996524</v>
      </c>
      <c r="F11" s="27">
        <f>+'&gt;&gt;LP Modelo '!F11/1000</f>
        <v>-85.060740599974991</v>
      </c>
      <c r="G11" s="17">
        <f>+'&gt;&gt;LP Modelo '!G11/1000</f>
        <v>0</v>
      </c>
      <c r="H11" s="27">
        <f>+'&gt;&gt;LP Modelo '!H11/1000</f>
        <v>-67.961705400004988</v>
      </c>
      <c r="I11" s="230"/>
      <c r="J11" s="312"/>
      <c r="K11" s="312"/>
      <c r="L11" s="312"/>
      <c r="M11" s="312"/>
      <c r="N11" s="31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12.75" hidden="1" outlineLevel="1" x14ac:dyDescent="0.2">
      <c r="B12" s="23" t="s">
        <v>4</v>
      </c>
      <c r="C12" s="4">
        <f>+'&gt;&gt;LP Modelo '!C12/1000</f>
        <v>103488.32799999999</v>
      </c>
      <c r="D12" s="4">
        <f>+'&gt;&gt;LP Modelo '!D12/1000</f>
        <v>131159.476</v>
      </c>
      <c r="E12" s="4">
        <f>+'&gt;&gt;LP Modelo '!E12/1000</f>
        <v>114796.717</v>
      </c>
      <c r="F12" s="4">
        <f>+'&gt;&gt;LP Modelo '!F12/1000</f>
        <v>104171.929</v>
      </c>
      <c r="G12" s="18">
        <f>+'&gt;&gt;LP Modelo '!G12/1000</f>
        <v>106578.20739386666</v>
      </c>
      <c r="H12" s="4">
        <f>+'&gt;&gt;LP Modelo '!H12/1000</f>
        <v>79865.693840000007</v>
      </c>
      <c r="I12" s="77"/>
      <c r="J12" s="40"/>
      <c r="K12" s="40"/>
      <c r="L12" s="40"/>
      <c r="M12" s="40"/>
      <c r="N12" s="40"/>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row>
    <row r="13" spans="1:74" ht="12.75" x14ac:dyDescent="0.2">
      <c r="B13" s="10" t="s">
        <v>4</v>
      </c>
      <c r="C13" s="5">
        <f>+SUM(C8:C12)-C12</f>
        <v>103488.32799999999</v>
      </c>
      <c r="D13" s="5">
        <f t="shared" ref="D13:H13" si="0">+SUM(D8:D12)-D12</f>
        <v>131159.476</v>
      </c>
      <c r="E13" s="5">
        <f t="shared" si="0"/>
        <v>114796.717</v>
      </c>
      <c r="F13" s="5">
        <f t="shared" si="0"/>
        <v>104171.929</v>
      </c>
      <c r="G13" s="19">
        <f t="shared" si="0"/>
        <v>106578.20739386669</v>
      </c>
      <c r="H13" s="5">
        <f t="shared" si="0"/>
        <v>79865.693839999978</v>
      </c>
      <c r="I13" s="3"/>
      <c r="J13" s="5">
        <f>+SUM(J8:J12)</f>
        <v>112038.49913546669</v>
      </c>
      <c r="K13" s="5">
        <f>+SUM(K8:K12)</f>
        <v>122907.78410174666</v>
      </c>
      <c r="L13" s="5">
        <f>+SUM(L8:L12)</f>
        <v>135201.64784282877</v>
      </c>
      <c r="M13" s="5">
        <f>+SUM(M8:M12)</f>
        <v>149167.47598917593</v>
      </c>
      <c r="N13" s="5">
        <f>+SUM(N8:N12)</f>
        <v>165102.97643140313</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row>
    <row r="14" spans="1:74" ht="3.75" customHeight="1" x14ac:dyDescent="0.2">
      <c r="B14" s="8"/>
      <c r="G14" s="16"/>
    </row>
    <row r="15" spans="1:74" ht="13.5" outlineLevel="1" x14ac:dyDescent="0.25">
      <c r="B15" s="2" t="str">
        <f>IF($B$8="","",+$B$8)</f>
        <v>Lubricantes</v>
      </c>
      <c r="C15" s="27">
        <f>+'&gt;&gt;LP Modelo '!C15/1000</f>
        <v>8968.2580227296803</v>
      </c>
      <c r="D15" s="27">
        <f>+'&gt;&gt;LP Modelo '!D15/1000</f>
        <v>9459.3566723962158</v>
      </c>
      <c r="E15" s="27">
        <f>+'&gt;&gt;LP Modelo '!E15/1000</f>
        <v>8964.1775898521719</v>
      </c>
      <c r="F15" s="27">
        <f>+'&gt;&gt;LP Modelo '!F15/1000</f>
        <v>9807.8583738006164</v>
      </c>
      <c r="G15" s="17">
        <f>+'&gt;&gt;LP Modelo '!G15/1000</f>
        <v>13497.639862736933</v>
      </c>
      <c r="H15" s="27">
        <f>+'&gt;&gt;LP Modelo '!H15/1000</f>
        <v>10123.229897052699</v>
      </c>
      <c r="I15" s="3"/>
      <c r="J15" s="3">
        <f>+'&gt;&gt;LP Modelo '!J15/1000</f>
        <v>14847.403849010625</v>
      </c>
      <c r="K15" s="3">
        <f>+'&gt;&gt;LP Modelo '!K15/1000</f>
        <v>17816.88461881275</v>
      </c>
      <c r="L15" s="3">
        <f>+'&gt;&gt;LP Modelo '!L15/1000</f>
        <v>21594.064158001052</v>
      </c>
      <c r="M15" s="3">
        <f>+'&gt;&gt;LP Modelo '!M15/1000</f>
        <v>26301.570144445279</v>
      </c>
      <c r="N15" s="3">
        <f>+'&gt;&gt;LP Modelo '!N15/1000</f>
        <v>32035.312435934346</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4" ht="13.5" outlineLevel="1" x14ac:dyDescent="0.25">
      <c r="B16" s="2" t="str">
        <f>IF($B$9="","",+$B$9)</f>
        <v xml:space="preserve">Proceso </v>
      </c>
      <c r="C16" s="27">
        <f>+'&gt;&gt;LP Modelo '!C16/1000</f>
        <v>77121.40595077032</v>
      </c>
      <c r="D16" s="27">
        <f>+'&gt;&gt;LP Modelo '!D16/1000</f>
        <v>98026.993223703772</v>
      </c>
      <c r="E16" s="27">
        <f>+'&gt;&gt;LP Modelo '!E16/1000</f>
        <v>89724.156846547834</v>
      </c>
      <c r="F16" s="27">
        <f>+'&gt;&gt;LP Modelo '!F16/1000</f>
        <v>80380.935057999377</v>
      </c>
      <c r="G16" s="17">
        <f>+'&gt;&gt;LP Modelo '!G16/1000</f>
        <v>80754.550226237858</v>
      </c>
      <c r="H16" s="27">
        <f>+'&gt;&gt;LP Modelo '!H16/1000</f>
        <v>60565.912669678401</v>
      </c>
      <c r="I16" s="3"/>
      <c r="J16" s="3">
        <f>+'&gt;&gt;LP Modelo '!J16/1000</f>
        <v>84792.277737549754</v>
      </c>
      <c r="K16" s="3">
        <f>+'&gt;&gt;LP Modelo '!K16/1000</f>
        <v>89031.891624427255</v>
      </c>
      <c r="L16" s="3">
        <f>+'&gt;&gt;LP Modelo '!L16/1000</f>
        <v>94418.32106770511</v>
      </c>
      <c r="M16" s="3">
        <f>+'&gt;&gt;LP Modelo '!M16/1000</f>
        <v>100626.32567790672</v>
      </c>
      <c r="N16" s="3">
        <f>+'&gt;&gt;LP Modelo '!N16/1000</f>
        <v>107242.50659122906</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2:74" ht="13.5" hidden="1" outlineLevel="1" x14ac:dyDescent="0.25">
      <c r="B17" s="2" t="str">
        <f>IF($B$10="","",+$B$10)</f>
        <v>Envases</v>
      </c>
      <c r="C17" s="27">
        <f>+'&gt;&gt;LP Modelo '!C17/1000</f>
        <v>916.11537880000003</v>
      </c>
      <c r="D17" s="27">
        <f>+'&gt;&gt;LP Modelo '!D17/1000</f>
        <v>596.2208040999999</v>
      </c>
      <c r="E17" s="27">
        <f>+'&gt;&gt;LP Modelo '!E17/1000</f>
        <v>723.53743250000014</v>
      </c>
      <c r="F17" s="27">
        <f>+'&gt;&gt;LP Modelo '!F17/1000</f>
        <v>802.40440710000007</v>
      </c>
      <c r="G17" s="17">
        <f>+'&gt;&gt;LP Modelo '!G17/1000</f>
        <v>993.98458560000006</v>
      </c>
      <c r="H17" s="27">
        <f>+'&gt;&gt;LP Modelo '!H17/1000</f>
        <v>745.48843920000002</v>
      </c>
      <c r="I17" s="3"/>
      <c r="J17" s="3">
        <f>+'&gt;&gt;LP Modelo '!J17/1000</f>
        <v>0</v>
      </c>
      <c r="K17" s="3">
        <f>+'&gt;&gt;LP Modelo '!K17/1000</f>
        <v>0</v>
      </c>
      <c r="L17" s="3">
        <f>+'&gt;&gt;LP Modelo '!L17/1000</f>
        <v>0</v>
      </c>
      <c r="M17" s="3">
        <f>+'&gt;&gt;LP Modelo '!M17/1000</f>
        <v>0</v>
      </c>
      <c r="N17" s="3">
        <f>+'&gt;&gt;LP Modelo '!N17/1000</f>
        <v>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row>
    <row r="18" spans="2:74" ht="13.5" hidden="1" outlineLevel="1" x14ac:dyDescent="0.25">
      <c r="B18" s="2" t="str">
        <f>IF($B$11="","",+$B$11)</f>
        <v>Otros</v>
      </c>
      <c r="C18" s="387">
        <f>+'&gt;&gt;LP Modelo '!C18/1000</f>
        <v>1791.2216476999968</v>
      </c>
      <c r="D18" s="27">
        <f>+'&gt;&gt;LP Modelo '!D18/1000</f>
        <v>2935.8832998000084</v>
      </c>
      <c r="E18" s="27">
        <f>+'&gt;&gt;LP Modelo '!E18/1000</f>
        <v>267.07213109999896</v>
      </c>
      <c r="F18" s="27">
        <f>+'&gt;&gt;LP Modelo '!F18/1000</f>
        <v>1249.6711611000001</v>
      </c>
      <c r="G18" s="17">
        <f>+'&gt;&gt;LP Modelo '!G18/1000</f>
        <v>0</v>
      </c>
      <c r="H18" s="27">
        <f>+'&gt;&gt;LP Modelo '!H18/1000</f>
        <v>795.84461406891046</v>
      </c>
      <c r="I18" s="3"/>
      <c r="J18" s="39"/>
      <c r="K18" s="39"/>
      <c r="L18" s="39"/>
      <c r="M18" s="39"/>
      <c r="N18" s="39"/>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2:74" ht="12.75" hidden="1" outlineLevel="1" x14ac:dyDescent="0.2">
      <c r="B19" s="2" t="s">
        <v>0</v>
      </c>
      <c r="C19" s="4">
        <f>+'&gt;&gt;LP Modelo '!C19/1000</f>
        <v>88797.001000000004</v>
      </c>
      <c r="D19" s="4">
        <f>+'&gt;&gt;LP Modelo '!D19/1000</f>
        <v>111018.454</v>
      </c>
      <c r="E19" s="4">
        <f>+'&gt;&gt;LP Modelo '!E19/1000</f>
        <v>99678.944000000003</v>
      </c>
      <c r="F19" s="4">
        <f>+'&gt;&gt;LP Modelo '!F19/1000</f>
        <v>92240.869000000006</v>
      </c>
      <c r="G19" s="18">
        <f>+'&gt;&gt;LP Modelo '!G19/1000</f>
        <v>95246.17467457481</v>
      </c>
      <c r="H19" s="4">
        <f>+'&gt;&gt;LP Modelo '!H19/1000</f>
        <v>72230.475620000012</v>
      </c>
      <c r="I19" s="3"/>
      <c r="J19" s="40"/>
      <c r="K19" s="40"/>
      <c r="L19" s="40"/>
      <c r="M19" s="40"/>
      <c r="N19" s="4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2:74" ht="12.75" x14ac:dyDescent="0.2">
      <c r="B20" s="10" t="s">
        <v>0</v>
      </c>
      <c r="C20" s="5">
        <f>+SUM(C15:C19)-C19</f>
        <v>88797.001000000004</v>
      </c>
      <c r="D20" s="5">
        <f t="shared" ref="D20:H20" si="1">+SUM(D15:D19)-D19</f>
        <v>111018.454</v>
      </c>
      <c r="E20" s="5">
        <f t="shared" si="1"/>
        <v>99678.944000000003</v>
      </c>
      <c r="F20" s="5">
        <f t="shared" si="1"/>
        <v>92240.869000000006</v>
      </c>
      <c r="G20" s="19">
        <f t="shared" si="1"/>
        <v>95246.17467457481</v>
      </c>
      <c r="H20" s="5">
        <f t="shared" si="1"/>
        <v>72230.475620000012</v>
      </c>
      <c r="I20" s="3"/>
      <c r="J20" s="5">
        <f>+SUM(J15:J19)</f>
        <v>99639.681586560386</v>
      </c>
      <c r="K20" s="5">
        <f>+SUM(K15:K19)</f>
        <v>106848.77624324</v>
      </c>
      <c r="L20" s="5">
        <f>+SUM(L15:L19)</f>
        <v>116012.38522570617</v>
      </c>
      <c r="M20" s="5">
        <f>+SUM(M15:M19)</f>
        <v>126927.895822352</v>
      </c>
      <c r="N20" s="5">
        <f>+SUM(N15:N19)</f>
        <v>139277.81902716341</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2:74" ht="3.75" customHeight="1" x14ac:dyDescent="0.2">
      <c r="B21" s="8"/>
      <c r="G21" s="16"/>
    </row>
    <row r="22" spans="2:74" ht="13.5" outlineLevel="1" x14ac:dyDescent="0.25">
      <c r="B22" s="2" t="str">
        <f>IF($B$8="","",+$B$8)</f>
        <v>Lubricantes</v>
      </c>
      <c r="C22" s="303">
        <f>+C8-C15</f>
        <v>4213.8801899703176</v>
      </c>
      <c r="D22" s="303">
        <f t="shared" ref="D22:H26" si="2">+D8-D15</f>
        <v>3350.4420257037818</v>
      </c>
      <c r="E22" s="303">
        <f t="shared" si="2"/>
        <v>2899.1188045478284</v>
      </c>
      <c r="F22" s="303">
        <f t="shared" si="2"/>
        <v>3269.0269249993871</v>
      </c>
      <c r="G22" s="304">
        <f t="shared" si="2"/>
        <v>3819.9568553964</v>
      </c>
      <c r="H22" s="303">
        <f t="shared" si="2"/>
        <v>2864.9676415473023</v>
      </c>
      <c r="I22" s="3"/>
      <c r="J22" s="3">
        <f t="shared" ref="J22:N24" si="3">+J8-J15</f>
        <v>4201.9525409360431</v>
      </c>
      <c r="K22" s="3">
        <f t="shared" si="3"/>
        <v>5499.5276024819723</v>
      </c>
      <c r="L22" s="3">
        <f t="shared" si="3"/>
        <v>6945.2244008636881</v>
      </c>
      <c r="M22" s="3">
        <f t="shared" si="3"/>
        <v>8630.5190516051589</v>
      </c>
      <c r="N22" s="3">
        <f t="shared" si="3"/>
        <v>10721.564740031386</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2:74" ht="13.5" outlineLevel="1" x14ac:dyDescent="0.25">
      <c r="B23" s="2" t="str">
        <f>IF($B$9="","",+$B$9)</f>
        <v xml:space="preserve">Proceso </v>
      </c>
      <c r="C23" s="303">
        <f t="shared" ref="C23:G26" si="4">+C9-C16</f>
        <v>11370.634679029667</v>
      </c>
      <c r="D23" s="303">
        <f t="shared" si="4"/>
        <v>16950.60763149627</v>
      </c>
      <c r="E23" s="303">
        <f t="shared" si="4"/>
        <v>12633.303415852133</v>
      </c>
      <c r="F23" s="303">
        <f t="shared" si="4"/>
        <v>10055.393901500589</v>
      </c>
      <c r="G23" s="304">
        <f t="shared" si="2"/>
        <v>7806.5381028288102</v>
      </c>
      <c r="H23" s="303">
        <f t="shared" si="2"/>
        <v>5854.9035771215931</v>
      </c>
      <c r="I23" s="3"/>
      <c r="J23" s="3">
        <f t="shared" si="3"/>
        <v>8196.8650079702638</v>
      </c>
      <c r="K23" s="3">
        <f t="shared" si="3"/>
        <v>10559.480256024675</v>
      </c>
      <c r="L23" s="3">
        <f t="shared" si="3"/>
        <v>12244.038216258909</v>
      </c>
      <c r="M23" s="3">
        <f t="shared" si="3"/>
        <v>13609.061115218778</v>
      </c>
      <c r="N23" s="3">
        <f t="shared" si="3"/>
        <v>15103.59266420835</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row>
    <row r="24" spans="2:74" ht="13.5" hidden="1" outlineLevel="1" x14ac:dyDescent="0.25">
      <c r="B24" s="2" t="str">
        <f>IF($B$10="","",+$B$10)</f>
        <v>Envases</v>
      </c>
      <c r="C24" s="303">
        <f t="shared" si="4"/>
        <v>-781.32489889999999</v>
      </c>
      <c r="D24" s="303">
        <f t="shared" si="4"/>
        <v>-144.26940569999994</v>
      </c>
      <c r="E24" s="303">
        <f t="shared" si="4"/>
        <v>-88.605861600000253</v>
      </c>
      <c r="F24" s="303">
        <f t="shared" si="4"/>
        <v>-58.62892480000005</v>
      </c>
      <c r="G24" s="304">
        <f t="shared" si="2"/>
        <v>-294.46223893333342</v>
      </c>
      <c r="H24" s="303">
        <f t="shared" si="2"/>
        <v>-220.84667920000004</v>
      </c>
      <c r="I24" s="3"/>
      <c r="J24" s="70">
        <f t="shared" si="3"/>
        <v>0</v>
      </c>
      <c r="K24" s="70">
        <f t="shared" si="3"/>
        <v>0</v>
      </c>
      <c r="L24" s="70">
        <f t="shared" si="3"/>
        <v>0</v>
      </c>
      <c r="M24" s="70">
        <f t="shared" si="3"/>
        <v>0</v>
      </c>
      <c r="N24" s="70">
        <f t="shared" si="3"/>
        <v>0</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2:74" ht="13.5" hidden="1" outlineLevel="1" x14ac:dyDescent="0.25">
      <c r="B25" s="2" t="str">
        <f>IF($B$11="","",+$B$11)</f>
        <v>Otros</v>
      </c>
      <c r="C25" s="303">
        <f t="shared" si="4"/>
        <v>-111.86297009998543</v>
      </c>
      <c r="D25" s="303">
        <f t="shared" si="4"/>
        <v>-15.758251500040387</v>
      </c>
      <c r="E25" s="303">
        <f t="shared" si="4"/>
        <v>-326.04335879996421</v>
      </c>
      <c r="F25" s="303">
        <f t="shared" si="4"/>
        <v>-1334.731901699975</v>
      </c>
      <c r="G25" s="304"/>
      <c r="H25" s="303">
        <f t="shared" si="2"/>
        <v>-863.80631946891549</v>
      </c>
      <c r="I25" s="3"/>
      <c r="J25" s="39"/>
      <c r="K25" s="39"/>
      <c r="L25" s="39"/>
      <c r="M25" s="39"/>
      <c r="N25" s="39"/>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2:74" ht="12.75" hidden="1" outlineLevel="1" x14ac:dyDescent="0.2">
      <c r="B26" s="2" t="s">
        <v>1</v>
      </c>
      <c r="C26" s="4">
        <f>+C12-C19</f>
        <v>14691.32699999999</v>
      </c>
      <c r="D26" s="4">
        <f t="shared" si="4"/>
        <v>20141.021999999997</v>
      </c>
      <c r="E26" s="4">
        <f t="shared" si="4"/>
        <v>15117.773000000001</v>
      </c>
      <c r="F26" s="4">
        <f t="shared" si="4"/>
        <v>11931.059999999998</v>
      </c>
      <c r="G26" s="18">
        <f t="shared" si="4"/>
        <v>11332.032719291848</v>
      </c>
      <c r="H26" s="4">
        <f t="shared" si="2"/>
        <v>7635.2182199999952</v>
      </c>
      <c r="I26" s="3"/>
      <c r="J26" s="40"/>
      <c r="K26" s="40"/>
      <c r="L26" s="40"/>
      <c r="M26" s="40"/>
      <c r="N26" s="40"/>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row>
    <row r="27" spans="2:74" ht="12.75" x14ac:dyDescent="0.2">
      <c r="B27" s="131" t="s">
        <v>1</v>
      </c>
      <c r="C27" s="132">
        <f>+SUM(C22:C26)-C26</f>
        <v>14691.326999999997</v>
      </c>
      <c r="D27" s="132">
        <f t="shared" ref="D27:H27" si="5">+SUM(D22:D26)-D26</f>
        <v>20141.022000000012</v>
      </c>
      <c r="E27" s="132">
        <f t="shared" si="5"/>
        <v>15117.772999999994</v>
      </c>
      <c r="F27" s="132">
        <f t="shared" si="5"/>
        <v>11931.060000000001</v>
      </c>
      <c r="G27" s="133">
        <f t="shared" si="5"/>
        <v>11332.032719291878</v>
      </c>
      <c r="H27" s="132">
        <f t="shared" si="5"/>
        <v>7635.2182199999806</v>
      </c>
      <c r="I27" s="3"/>
      <c r="J27" s="132">
        <f>+SUM(J22:J26)</f>
        <v>12398.817548906307</v>
      </c>
      <c r="K27" s="132">
        <f>+SUM(K22:K26)</f>
        <v>16059.007858506648</v>
      </c>
      <c r="L27" s="132">
        <f>+SUM(L22:L26)</f>
        <v>19189.262617122597</v>
      </c>
      <c r="M27" s="132">
        <f>+SUM(M22:M26)</f>
        <v>22239.580166823936</v>
      </c>
      <c r="N27" s="132">
        <f>+SUM(N22:N26)</f>
        <v>25825.157404239737</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row>
    <row r="28" spans="2:74" ht="3.75" customHeight="1" x14ac:dyDescent="0.2">
      <c r="B28" s="8"/>
      <c r="G28" s="16"/>
    </row>
    <row r="29" spans="2:74" ht="13.5" outlineLevel="1" x14ac:dyDescent="0.25">
      <c r="B29" s="2" t="str">
        <f>IF($B$8="","",+$B$8)</f>
        <v>Lubricantes</v>
      </c>
      <c r="C29" s="305">
        <f>+C22/C8</f>
        <v>0.31966590866954808</v>
      </c>
      <c r="D29" s="305">
        <f t="shared" ref="D29:H32" si="6">+D22/D8</f>
        <v>0.26155305830065334</v>
      </c>
      <c r="E29" s="305">
        <f t="shared" si="6"/>
        <v>0.24437717040571796</v>
      </c>
      <c r="F29" s="305">
        <f t="shared" si="6"/>
        <v>0.24998513409759496</v>
      </c>
      <c r="G29" s="306">
        <f t="shared" si="6"/>
        <v>0.22058238897528468</v>
      </c>
      <c r="H29" s="305">
        <f t="shared" si="6"/>
        <v>0.22058238897528482</v>
      </c>
      <c r="I29" s="7"/>
      <c r="J29" s="7">
        <f t="shared" ref="J29:N31" si="7">+J22/J8</f>
        <v>0.22058238897528482</v>
      </c>
      <c r="K29" s="7">
        <f t="shared" si="7"/>
        <v>0.2358650872306714</v>
      </c>
      <c r="L29" s="7">
        <f t="shared" si="7"/>
        <v>0.24335660598331191</v>
      </c>
      <c r="M29" s="7">
        <f t="shared" si="7"/>
        <v>0.24706564222849173</v>
      </c>
      <c r="N29" s="7">
        <f t="shared" si="7"/>
        <v>0.25075649692345015</v>
      </c>
      <c r="O29" s="7"/>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2:74" ht="13.5" outlineLevel="1" x14ac:dyDescent="0.25">
      <c r="B30" s="2" t="str">
        <f>IF($B$9="","",+$B$9)</f>
        <v xml:space="preserve">Proceso </v>
      </c>
      <c r="C30" s="305">
        <f t="shared" ref="C30:F33" si="8">+C23/C9</f>
        <v>0.12849330400909037</v>
      </c>
      <c r="D30" s="305">
        <f t="shared" si="8"/>
        <v>0.14742530288872047</v>
      </c>
      <c r="E30" s="305">
        <f t="shared" si="8"/>
        <v>0.12342337708913295</v>
      </c>
      <c r="F30" s="305">
        <f t="shared" si="8"/>
        <v>0.11118755059157354</v>
      </c>
      <c r="G30" s="306">
        <f t="shared" si="6"/>
        <v>8.8148624301251088E-2</v>
      </c>
      <c r="H30" s="305">
        <f t="shared" si="6"/>
        <v>8.814862430125088E-2</v>
      </c>
      <c r="I30" s="7"/>
      <c r="J30" s="7">
        <f t="shared" si="7"/>
        <v>8.8148624301251213E-2</v>
      </c>
      <c r="K30" s="7">
        <f t="shared" si="7"/>
        <v>0.10602806304044216</v>
      </c>
      <c r="L30" s="7">
        <f t="shared" si="7"/>
        <v>0.11479249379494758</v>
      </c>
      <c r="M30" s="7">
        <f t="shared" si="7"/>
        <v>0.11913174627634517</v>
      </c>
      <c r="N30" s="7">
        <f t="shared" si="7"/>
        <v>0.12344972791224566</v>
      </c>
      <c r="O30" s="7"/>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2:74" ht="13.5" hidden="1" outlineLevel="1" x14ac:dyDescent="0.25">
      <c r="B31" s="2" t="str">
        <f>IF($B$10="","",+$B$10)</f>
        <v>Envases</v>
      </c>
      <c r="C31" s="305">
        <f t="shared" si="8"/>
        <v>-5.7965881528106342</v>
      </c>
      <c r="D31" s="305">
        <f t="shared" si="8"/>
        <v>-0.31921442484909446</v>
      </c>
      <c r="E31" s="305">
        <f t="shared" si="8"/>
        <v>-0.13955182835593388</v>
      </c>
      <c r="F31" s="305">
        <f t="shared" si="8"/>
        <v>-7.8826105720371423E-2</v>
      </c>
      <c r="G31" s="306">
        <f t="shared" si="6"/>
        <v>-0.42094757992577653</v>
      </c>
      <c r="H31" s="305">
        <f t="shared" si="6"/>
        <v>-0.42094757992577647</v>
      </c>
      <c r="I31" s="7"/>
      <c r="J31" s="7" t="e">
        <f t="shared" si="7"/>
        <v>#DIV/0!</v>
      </c>
      <c r="K31" s="7" t="e">
        <f t="shared" si="7"/>
        <v>#DIV/0!</v>
      </c>
      <c r="L31" s="7" t="e">
        <f t="shared" si="7"/>
        <v>#DIV/0!</v>
      </c>
      <c r="M31" s="7" t="e">
        <f t="shared" si="7"/>
        <v>#DIV/0!</v>
      </c>
      <c r="N31" s="7" t="e">
        <f t="shared" si="7"/>
        <v>#DIV/0!</v>
      </c>
      <c r="O31" s="7"/>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row>
    <row r="32" spans="2:74" ht="13.5" hidden="1" outlineLevel="1" x14ac:dyDescent="0.25">
      <c r="B32" s="2" t="str">
        <f>IF($B$11="","",+$B$11)</f>
        <v>Otros</v>
      </c>
      <c r="C32" s="305">
        <f t="shared" si="8"/>
        <v>-6.6610529121658477E-2</v>
      </c>
      <c r="D32" s="305">
        <f t="shared" si="8"/>
        <v>-5.3964303717796234E-3</v>
      </c>
      <c r="E32" s="305">
        <f t="shared" si="8"/>
        <v>5.5288548588273052</v>
      </c>
      <c r="F32" s="305">
        <f t="shared" si="8"/>
        <v>15.691515172398669</v>
      </c>
      <c r="G32" s="306"/>
      <c r="H32" s="305">
        <f t="shared" si="6"/>
        <v>12.710191929186816</v>
      </c>
      <c r="I32" s="7"/>
      <c r="J32" s="248"/>
      <c r="K32" s="248"/>
      <c r="L32" s="248"/>
      <c r="M32" s="248"/>
      <c r="N32" s="248"/>
      <c r="O32" s="7"/>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row>
    <row r="33" spans="2:74" ht="13.5" hidden="1" outlineLevel="1" x14ac:dyDescent="0.25">
      <c r="B33" s="2" t="s">
        <v>169</v>
      </c>
      <c r="C33" s="9">
        <f>+C26/C12</f>
        <v>0.14196119778841138</v>
      </c>
      <c r="D33" s="9">
        <f t="shared" si="8"/>
        <v>0.15356131797903796</v>
      </c>
      <c r="E33" s="9">
        <f>+E26/E12</f>
        <v>0.13169168417943519</v>
      </c>
      <c r="F33" s="9">
        <f t="shared" si="8"/>
        <v>0.11453239000690865</v>
      </c>
      <c r="G33" s="20">
        <f>+G26/G13</f>
        <v>0.10632598348566312</v>
      </c>
      <c r="H33" s="9">
        <f>+H26/H12</f>
        <v>9.5600724828060854E-2</v>
      </c>
      <c r="I33" s="7"/>
      <c r="J33" s="226"/>
      <c r="K33" s="226"/>
      <c r="L33" s="226"/>
      <c r="M33" s="226"/>
      <c r="N33" s="226"/>
      <c r="O33" s="7"/>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2:74" ht="13.5" x14ac:dyDescent="0.25">
      <c r="B34" s="10" t="s">
        <v>2</v>
      </c>
      <c r="C34" s="14">
        <f>+C27/C13</f>
        <v>0.14196119778841146</v>
      </c>
      <c r="D34" s="14">
        <f>+D27/D13</f>
        <v>0.15356131797903808</v>
      </c>
      <c r="E34" s="14">
        <f>+E27/E13</f>
        <v>0.13169168417943514</v>
      </c>
      <c r="F34" s="14">
        <f>+F27/F13</f>
        <v>0.11453239000690868</v>
      </c>
      <c r="G34" s="21">
        <f>+G27/G13</f>
        <v>0.1063259834856634</v>
      </c>
      <c r="H34" s="14">
        <f>+H27/H13</f>
        <v>9.5600724828060701E-2</v>
      </c>
      <c r="I34" s="3"/>
      <c r="J34" s="14">
        <f>+J27/J13</f>
        <v>0.11066568763934255</v>
      </c>
      <c r="K34" s="14">
        <f>+K27/K13</f>
        <v>0.13065899752299279</v>
      </c>
      <c r="L34" s="14">
        <f>+L27/L13</f>
        <v>0.14193068592943495</v>
      </c>
      <c r="M34" s="14">
        <f>+M27/M13</f>
        <v>0.14909134862909199</v>
      </c>
      <c r="N34" s="14">
        <f>+N27/N13</f>
        <v>0.15641848476892575</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2:74" ht="3.75" customHeight="1" x14ac:dyDescent="0.2">
      <c r="B35" s="8"/>
      <c r="G35" s="16"/>
      <c r="H35" s="386"/>
    </row>
    <row r="36" spans="2:74" ht="13.5" outlineLevel="1" x14ac:dyDescent="0.25">
      <c r="B36" s="2" t="str">
        <f>IF($B$8="","",+$B$8)</f>
        <v>Lubricantes</v>
      </c>
      <c r="C36" s="383"/>
      <c r="D36" s="305">
        <f t="shared" ref="D36:G40" si="9">+(D8/C8)-1</f>
        <v>-2.82457601788213E-2</v>
      </c>
      <c r="E36" s="305">
        <f t="shared" si="9"/>
        <v>-7.3888928780776797E-2</v>
      </c>
      <c r="F36" s="305">
        <f t="shared" si="9"/>
        <v>0.10229778166655867</v>
      </c>
      <c r="G36" s="306">
        <f t="shared" si="9"/>
        <v>0.32429063362071986</v>
      </c>
      <c r="H36" s="383"/>
      <c r="I36" s="3"/>
      <c r="J36" s="7">
        <f>+(J8/G8)-1</f>
        <v>0.10000000000000009</v>
      </c>
      <c r="K36" s="7">
        <f t="shared" ref="K36:N38" si="10">+(K8/J8)-1</f>
        <v>0.22399999999999998</v>
      </c>
      <c r="L36" s="7">
        <f t="shared" si="10"/>
        <v>0.22399999999999998</v>
      </c>
      <c r="M36" s="7">
        <f t="shared" si="10"/>
        <v>0.22399999999999975</v>
      </c>
      <c r="N36" s="7">
        <f t="shared" si="10"/>
        <v>0.22399999999999998</v>
      </c>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2:74" ht="13.5" outlineLevel="1" x14ac:dyDescent="0.25">
      <c r="B37" s="2" t="str">
        <f>IF($B$9="","",+$B$9)</f>
        <v xml:space="preserve">Proceso </v>
      </c>
      <c r="C37" s="383"/>
      <c r="D37" s="305">
        <f t="shared" si="9"/>
        <v>0.29929878480484451</v>
      </c>
      <c r="E37" s="305">
        <f t="shared" si="9"/>
        <v>-0.10976173184108762</v>
      </c>
      <c r="F37" s="305">
        <f t="shared" si="9"/>
        <v>-0.11646568088285314</v>
      </c>
      <c r="G37" s="306">
        <f t="shared" si="9"/>
        <v>-2.0735479336772777E-2</v>
      </c>
      <c r="H37" s="383"/>
      <c r="I37" s="3"/>
      <c r="J37" s="227">
        <f>+(J9/G9)-1</f>
        <v>5.0000000000000266E-2</v>
      </c>
      <c r="K37" s="7">
        <f t="shared" si="10"/>
        <v>7.0999999999999952E-2</v>
      </c>
      <c r="L37" s="7">
        <f t="shared" si="10"/>
        <v>7.0999999999999952E-2</v>
      </c>
      <c r="M37" s="7">
        <f t="shared" si="10"/>
        <v>7.1000000000000174E-2</v>
      </c>
      <c r="N37" s="7">
        <f t="shared" si="10"/>
        <v>7.0999999999999952E-2</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2:74" ht="13.5" hidden="1" outlineLevel="1" x14ac:dyDescent="0.25">
      <c r="B38" s="2" t="str">
        <f>IF($B$10="","",+$B$10)</f>
        <v>Envases</v>
      </c>
      <c r="C38" s="383"/>
      <c r="D38" s="305">
        <f t="shared" si="9"/>
        <v>2.3529919823365799</v>
      </c>
      <c r="E38" s="305">
        <f t="shared" si="9"/>
        <v>0.4048669240714533</v>
      </c>
      <c r="F38" s="305">
        <f t="shared" si="9"/>
        <v>0.17142620778128359</v>
      </c>
      <c r="G38" s="306">
        <f t="shared" si="9"/>
        <v>-5.949797578227245E-2</v>
      </c>
      <c r="H38" s="383"/>
      <c r="I38" s="3"/>
      <c r="J38" s="227">
        <f>+(J10/G10)-1</f>
        <v>-1</v>
      </c>
      <c r="K38" s="7" t="e">
        <f t="shared" si="10"/>
        <v>#DIV/0!</v>
      </c>
      <c r="L38" s="7" t="e">
        <f t="shared" si="10"/>
        <v>#DIV/0!</v>
      </c>
      <c r="M38" s="7" t="e">
        <f t="shared" si="10"/>
        <v>#DIV/0!</v>
      </c>
      <c r="N38" s="7" t="e">
        <f t="shared" si="10"/>
        <v>#DIV/0!</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2:74" ht="13.5" hidden="1" outlineLevel="1" x14ac:dyDescent="0.25">
      <c r="B39" s="2" t="str">
        <f>IF($B$11="","",+$B$11)</f>
        <v>Otros</v>
      </c>
      <c r="C39" s="383"/>
      <c r="D39" s="305">
        <f t="shared" si="9"/>
        <v>0.73883345306146797</v>
      </c>
      <c r="E39" s="305">
        <f t="shared" si="9"/>
        <v>-1.0201947610888433</v>
      </c>
      <c r="F39" s="305">
        <f t="shared" si="9"/>
        <v>0.44241088268923945</v>
      </c>
      <c r="G39" s="306"/>
      <c r="H39" s="383"/>
      <c r="I39" s="3"/>
      <c r="J39" s="249"/>
      <c r="K39" s="248"/>
      <c r="L39" s="248"/>
      <c r="M39" s="248"/>
      <c r="N39" s="24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2:74" ht="13.5" hidden="1" outlineLevel="1" x14ac:dyDescent="0.25">
      <c r="B40" s="2" t="str">
        <f>+B12</f>
        <v xml:space="preserve">Ventas  </v>
      </c>
      <c r="C40" s="384"/>
      <c r="D40" s="307">
        <f>+(D12/C12)-1</f>
        <v>0.26738424066528554</v>
      </c>
      <c r="E40" s="307">
        <f t="shared" si="9"/>
        <v>-0.12475468413734736</v>
      </c>
      <c r="F40" s="307">
        <f t="shared" si="9"/>
        <v>-9.2553064910384175E-2</v>
      </c>
      <c r="G40" s="308">
        <f>+(G26/F26)-1</f>
        <v>-5.0207381465531942E-2</v>
      </c>
      <c r="H40" s="384"/>
      <c r="I40" s="3"/>
      <c r="J40" s="228"/>
      <c r="K40" s="228"/>
      <c r="L40" s="228"/>
      <c r="M40" s="228"/>
      <c r="N40" s="228"/>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2:74" ht="13.5" x14ac:dyDescent="0.25">
      <c r="B41" s="10" t="s">
        <v>3</v>
      </c>
      <c r="C41" s="385"/>
      <c r="D41" s="309">
        <f>+(D13/C13)-1</f>
        <v>0.26738424066528554</v>
      </c>
      <c r="E41" s="309">
        <f>+(E13/D13)-1</f>
        <v>-0.12475468413734736</v>
      </c>
      <c r="F41" s="309">
        <f>+(F13/E13)-1</f>
        <v>-9.2553064910384175E-2</v>
      </c>
      <c r="G41" s="310">
        <f>+(G13/F13)-1</f>
        <v>2.3099105651261276E-2</v>
      </c>
      <c r="H41" s="385">
        <f>+(H13/G13)-1</f>
        <v>-0.2506376698113234</v>
      </c>
      <c r="I41" s="3"/>
      <c r="J41" s="6">
        <f>+(J13/(H13*2)-1)</f>
        <v>-0.29858182062550831</v>
      </c>
      <c r="K41" s="6">
        <f>+(K13/J13)-1</f>
        <v>9.7013839440475147E-2</v>
      </c>
      <c r="L41" s="6">
        <f>+(L13/K13)-1</f>
        <v>0.1000251028112662</v>
      </c>
      <c r="M41" s="6">
        <f>+(M13/L13)-1</f>
        <v>0.10329628646673283</v>
      </c>
      <c r="N41" s="6">
        <f>+(N13/M13)-1</f>
        <v>0.1068295909450363</v>
      </c>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2:74" ht="3.75" customHeight="1" x14ac:dyDescent="0.2">
      <c r="B42" s="8"/>
      <c r="C42" s="386"/>
      <c r="G42" s="16"/>
      <c r="H42" s="386"/>
      <c r="J42" s="26"/>
      <c r="K42" s="26"/>
      <c r="L42" s="26"/>
      <c r="M42" s="26"/>
      <c r="N42" s="26"/>
    </row>
    <row r="43" spans="2:74" ht="13.5" outlineLevel="1" x14ac:dyDescent="0.25">
      <c r="B43" s="2" t="s">
        <v>133</v>
      </c>
      <c r="C43" s="27">
        <f>+'&gt;&gt;LP Modelo '!C43/1000</f>
        <v>7869.7030000000004</v>
      </c>
      <c r="D43" s="27">
        <f>+'&gt;&gt;LP Modelo '!D43/1000</f>
        <v>8822.4979999999996</v>
      </c>
      <c r="E43" s="27">
        <f>+'&gt;&gt;LP Modelo '!E43/1000</f>
        <v>8417.58</v>
      </c>
      <c r="F43" s="27">
        <f>+'&gt;&gt;LP Modelo '!F43/1000</f>
        <v>8470.7579999999998</v>
      </c>
      <c r="G43" s="388">
        <f>+'&gt;&gt;LP Modelo '!G43/1000</f>
        <v>7615.4744533333333</v>
      </c>
      <c r="H43" s="389">
        <f>+'&gt;&gt;LP Modelo '!H43/1000</f>
        <v>5711.6058400000002</v>
      </c>
      <c r="I43" s="3"/>
      <c r="J43" s="387">
        <f>+'&gt;&gt;LP Modelo '!J43/1000</f>
        <v>5299.6851089995525</v>
      </c>
      <c r="K43" s="27">
        <f>+'&gt;&gt;LP Modelo '!K43/1000</f>
        <v>5813.8279092491111</v>
      </c>
      <c r="L43" s="27">
        <f>+'&gt;&gt;LP Modelo '!L43/1000</f>
        <v>6395.3566435987623</v>
      </c>
      <c r="M43" s="27">
        <f>+'&gt;&gt;LP Modelo '!M43/1000</f>
        <v>7055.9732355128617</v>
      </c>
      <c r="N43" s="27">
        <f>+'&gt;&gt;LP Modelo '!N43/1000</f>
        <v>7809.7599699818265</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row>
    <row r="44" spans="2:74" ht="13.5" outlineLevel="1" x14ac:dyDescent="0.25">
      <c r="B44" s="398" t="s">
        <v>136</v>
      </c>
      <c r="C44" s="27">
        <f>+'&gt;&gt;LP Modelo '!C44/1000</f>
        <v>5469.4669999999996</v>
      </c>
      <c r="D44" s="27">
        <f>+'&gt;&gt;LP Modelo '!D44/1000</f>
        <v>6358.5389999999998</v>
      </c>
      <c r="E44" s="27">
        <f>+'&gt;&gt;LP Modelo '!E44/1000</f>
        <v>5291.1890000000003</v>
      </c>
      <c r="F44" s="27">
        <f>+'&gt;&gt;LP Modelo '!F44/1000</f>
        <v>5210.7449999999999</v>
      </c>
      <c r="G44" s="388">
        <f>+'&gt;&gt;LP Modelo '!G44/1000</f>
        <v>4693.0326533333346</v>
      </c>
      <c r="H44" s="27">
        <f>+'&gt;&gt;LP Modelo '!H44/1000</f>
        <v>3519.7744900000002</v>
      </c>
      <c r="I44" s="3"/>
      <c r="J44" s="27">
        <f>+'&gt;&gt;LP Modelo '!J44/1000</f>
        <v>4937.6676291691583</v>
      </c>
      <c r="K44" s="27">
        <f>+'&gt;&gt;LP Modelo '!K44/1000</f>
        <v>5416.6897237558069</v>
      </c>
      <c r="L44" s="27">
        <f>+'&gt;&gt;LP Modelo '!L44/1000</f>
        <v>5958.4946702712095</v>
      </c>
      <c r="M44" s="27">
        <f>+'&gt;&gt;LP Modelo '!M44/1000</f>
        <v>6573.9850426420444</v>
      </c>
      <c r="N44" s="27">
        <f>+'&gt;&gt;LP Modelo '!N44/1000</f>
        <v>7276.2811756262827</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2:74" ht="13.5" outlineLevel="1" x14ac:dyDescent="0.25">
      <c r="B45" s="2" t="s">
        <v>435</v>
      </c>
      <c r="C45" s="27">
        <f>+'&gt;&gt;LP Modelo '!C45/1000</f>
        <v>0</v>
      </c>
      <c r="D45" s="27">
        <f>+'&gt;&gt;LP Modelo '!D45/1000</f>
        <v>0</v>
      </c>
      <c r="E45" s="27">
        <f>+'&gt;&gt;LP Modelo '!E45/1000</f>
        <v>0</v>
      </c>
      <c r="F45" s="27">
        <f>+'&gt;&gt;LP Modelo '!F45/1000</f>
        <v>0</v>
      </c>
      <c r="G45" s="388">
        <f>+'&gt;&gt;LP Modelo '!G45/1000</f>
        <v>0</v>
      </c>
      <c r="H45" s="27">
        <f>+'&gt;&gt;LP Modelo '!H45/1000</f>
        <v>0</v>
      </c>
      <c r="I45" s="3"/>
      <c r="J45" s="27">
        <f>+'&gt;&gt;LP Modelo '!J45/1000</f>
        <v>2244.6088456000002</v>
      </c>
      <c r="K45" s="27">
        <f>+'&gt;&gt;LP Modelo '!K45/1000</f>
        <v>2278.2779782839998</v>
      </c>
      <c r="L45" s="27">
        <f>+'&gt;&gt;LP Modelo '!L45/1000</f>
        <v>2312.4521479582595</v>
      </c>
      <c r="M45" s="27">
        <f>+'&gt;&gt;LP Modelo '!M45/1000</f>
        <v>2347.138930177633</v>
      </c>
      <c r="N45" s="27">
        <f>+'&gt;&gt;LP Modelo '!N45/1000</f>
        <v>2382.3460141302976</v>
      </c>
      <c r="O45" s="3">
        <f>+'&gt;&gt;LP Modelo '!O45/1000</f>
        <v>0</v>
      </c>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2:74" ht="12.75" x14ac:dyDescent="0.2">
      <c r="B46" s="10" t="s">
        <v>6</v>
      </c>
      <c r="C46" s="396">
        <f t="shared" ref="C46:D46" si="11">+SUM(C43:C44)</f>
        <v>13339.17</v>
      </c>
      <c r="D46" s="396">
        <f t="shared" si="11"/>
        <v>15181.037</v>
      </c>
      <c r="E46" s="396">
        <f t="shared" ref="E46:H46" si="12">+SUM(E43:E44)</f>
        <v>13708.769</v>
      </c>
      <c r="F46" s="396">
        <f t="shared" si="12"/>
        <v>13681.503000000001</v>
      </c>
      <c r="G46" s="397">
        <f t="shared" si="12"/>
        <v>12308.507106666668</v>
      </c>
      <c r="H46" s="396">
        <f t="shared" si="12"/>
        <v>9231.38033</v>
      </c>
      <c r="I46" s="3"/>
      <c r="J46" s="5">
        <f>+SUM(J43:J45)</f>
        <v>12481.961583768711</v>
      </c>
      <c r="K46" s="5">
        <f t="shared" ref="K46:N46" si="13">+SUM(K43:K45)</f>
        <v>13508.795611288919</v>
      </c>
      <c r="L46" s="5">
        <f t="shared" si="13"/>
        <v>14666.303461828231</v>
      </c>
      <c r="M46" s="5">
        <f t="shared" si="13"/>
        <v>15977.09720833254</v>
      </c>
      <c r="N46" s="5">
        <f t="shared" si="13"/>
        <v>17468.387159738406</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row>
    <row r="47" spans="2:74" ht="3.75" customHeight="1" x14ac:dyDescent="0.2">
      <c r="B47" s="8"/>
      <c r="G47" s="16"/>
    </row>
    <row r="48" spans="2:74" ht="12.75" x14ac:dyDescent="0.2">
      <c r="B48" s="131" t="s">
        <v>8</v>
      </c>
      <c r="C48" s="132">
        <f t="shared" ref="C48:H48" si="14">+C27-C46</f>
        <v>1352.1569999999974</v>
      </c>
      <c r="D48" s="132">
        <f t="shared" si="14"/>
        <v>4959.9850000000115</v>
      </c>
      <c r="E48" s="132">
        <f t="shared" si="14"/>
        <v>1409.0039999999935</v>
      </c>
      <c r="F48" s="132">
        <f t="shared" si="14"/>
        <v>-1750.4429999999993</v>
      </c>
      <c r="G48" s="133">
        <f t="shared" si="14"/>
        <v>-976.47438737479024</v>
      </c>
      <c r="H48" s="132">
        <f t="shared" si="14"/>
        <v>-1596.1621100000193</v>
      </c>
      <c r="I48" s="3"/>
      <c r="J48" s="132">
        <f>+J27-J46</f>
        <v>-83.144034862403714</v>
      </c>
      <c r="K48" s="132">
        <f>+K27-K46</f>
        <v>2550.2122472177289</v>
      </c>
      <c r="L48" s="132">
        <f>+L27-L46</f>
        <v>4522.9591552943657</v>
      </c>
      <c r="M48" s="132">
        <f>+M27-M46</f>
        <v>6262.4829584913969</v>
      </c>
      <c r="N48" s="132">
        <f>+N27-N46</f>
        <v>8356.770244501331</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row>
    <row r="49" spans="2:74" ht="13.5" x14ac:dyDescent="0.25">
      <c r="B49" s="13" t="s">
        <v>7</v>
      </c>
      <c r="C49" s="14">
        <f t="shared" ref="C49:H49" si="15">+C48/C13</f>
        <v>1.3065792308481372E-2</v>
      </c>
      <c r="D49" s="14">
        <f t="shared" si="15"/>
        <v>3.7816444158407674E-2</v>
      </c>
      <c r="E49" s="14">
        <f t="shared" si="15"/>
        <v>1.2273905010715538E-2</v>
      </c>
      <c r="F49" s="14">
        <f t="shared" si="15"/>
        <v>-1.6803403918919456E-2</v>
      </c>
      <c r="G49" s="21">
        <f t="shared" si="15"/>
        <v>-9.1620455180501E-3</v>
      </c>
      <c r="H49" s="14">
        <f t="shared" si="15"/>
        <v>-1.9985578704139383E-2</v>
      </c>
      <c r="I49" s="3"/>
      <c r="J49" s="14">
        <f>+J48/J13</f>
        <v>-7.4210236216993197E-4</v>
      </c>
      <c r="K49" s="14">
        <f>+K48/K13</f>
        <v>2.0748988893222488E-2</v>
      </c>
      <c r="L49" s="14">
        <f>+L48/L13</f>
        <v>3.3453432169349616E-2</v>
      </c>
      <c r="M49" s="14">
        <f>+M48/M13</f>
        <v>4.1982898195219331E-2</v>
      </c>
      <c r="N49" s="14">
        <f>+N48/N13</f>
        <v>5.0615503276365194E-2</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2:74" ht="3.75" customHeight="1" x14ac:dyDescent="0.2">
      <c r="B50" s="8"/>
      <c r="G50" s="16"/>
    </row>
    <row r="51" spans="2:74" ht="12.75" outlineLevel="1" x14ac:dyDescent="0.2">
      <c r="B51" s="2" t="s">
        <v>50</v>
      </c>
      <c r="C51" s="3">
        <f>+'&gt;&gt;LP Modelo '!C51/1000</f>
        <v>0</v>
      </c>
      <c r="D51" s="3">
        <f>+'&gt;&gt;LP Modelo '!D51/1000</f>
        <v>0</v>
      </c>
      <c r="E51" s="3">
        <f>+'&gt;&gt;LP Modelo '!E51/1000</f>
        <v>831.73</v>
      </c>
      <c r="F51" s="3">
        <f>+'&gt;&gt;LP Modelo '!F51/1000</f>
        <v>684.21699999999998</v>
      </c>
      <c r="G51" s="17">
        <f>+'&gt;&gt;LP Modelo '!G51/1000</f>
        <v>327.62142666666705</v>
      </c>
      <c r="H51" s="3">
        <f>+'&gt;&gt;LP Modelo '!H51/1000</f>
        <v>245.71607000000029</v>
      </c>
      <c r="I51" s="3"/>
      <c r="J51" s="55">
        <f>+'&gt;&gt;LP Modelo '!J51/1000</f>
        <v>121.67394239999986</v>
      </c>
      <c r="K51" s="55">
        <f>+'&gt;&gt;LP Modelo '!K51/1000</f>
        <v>237.95377892249977</v>
      </c>
      <c r="L51" s="55">
        <f>+'&gt;&gt;LP Modelo '!L51/1000</f>
        <v>211.69066011337492</v>
      </c>
      <c r="M51" s="55">
        <f>+'&gt;&gt;LP Modelo '!M51/1000</f>
        <v>322.37729218644381</v>
      </c>
      <c r="N51" s="55">
        <f>+'&gt;&gt;LP Modelo '!N51/1000</f>
        <v>280.06451079555103</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row>
    <row r="52" spans="2:74" ht="12.75" outlineLevel="1" x14ac:dyDescent="0.2">
      <c r="B52" s="2" t="s">
        <v>388</v>
      </c>
      <c r="C52" s="3">
        <f>+'&gt;&gt;LP Modelo '!C52/1000</f>
        <v>0</v>
      </c>
      <c r="D52" s="3">
        <f>+'&gt;&gt;LP Modelo '!D52/1000</f>
        <v>15.904999999999999</v>
      </c>
      <c r="E52" s="3">
        <f>+'&gt;&gt;LP Modelo '!E52/1000</f>
        <v>15.904999999999999</v>
      </c>
      <c r="F52" s="3">
        <f>+'&gt;&gt;LP Modelo '!F52/1000</f>
        <v>16.452999999999999</v>
      </c>
      <c r="G52" s="17">
        <f>+'&gt;&gt;LP Modelo '!G52/1000</f>
        <v>19.193840000000005</v>
      </c>
      <c r="H52" s="3">
        <f>+'&gt;&gt;LP Modelo '!H52/1000</f>
        <v>14.395380000000005</v>
      </c>
      <c r="I52" s="3"/>
      <c r="J52" s="317">
        <f>+'&gt;&gt;LP Modelo '!J52/1000</f>
        <v>16.5</v>
      </c>
      <c r="K52" s="317">
        <f>+'&gt;&gt;LP Modelo '!K52/1000</f>
        <v>16.5</v>
      </c>
      <c r="L52" s="317">
        <f>+'&gt;&gt;LP Modelo '!L52/1000</f>
        <v>16.5</v>
      </c>
      <c r="M52" s="317">
        <f>+'&gt;&gt;LP Modelo '!M52/1000</f>
        <v>16.5</v>
      </c>
      <c r="N52" s="317">
        <f>+'&gt;&gt;LP Modelo '!N52/1000</f>
        <v>16.5</v>
      </c>
      <c r="O52" s="314"/>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row>
    <row r="53" spans="2:74" ht="12.75" hidden="1" outlineLevel="1" x14ac:dyDescent="0.2">
      <c r="B53" s="2" t="s">
        <v>49</v>
      </c>
      <c r="C53" s="301">
        <f>+'&gt;&gt;LP Modelo '!C53/1000</f>
        <v>2473.97822</v>
      </c>
      <c r="D53" s="301">
        <f>+'&gt;&gt;LP Modelo '!D53/1000</f>
        <v>2967.8011799999995</v>
      </c>
      <c r="E53" s="301">
        <f>+'&gt;&gt;LP Modelo '!E53/1000</f>
        <v>3127.2712700000002</v>
      </c>
      <c r="F53" s="338">
        <f>+'&gt;&gt;LP Modelo '!F53/1000</f>
        <v>3324.0697200000004</v>
      </c>
      <c r="G53" s="337">
        <f>+'&gt;&gt;LP Modelo '!G53/1000</f>
        <v>2578.3603466666668</v>
      </c>
      <c r="H53" s="301">
        <f>+'&gt;&gt;LP Modelo '!H53/1000</f>
        <v>1933.77026</v>
      </c>
      <c r="I53" s="3"/>
      <c r="J53" s="40"/>
      <c r="K53" s="40"/>
      <c r="L53" s="40"/>
      <c r="M53" s="40"/>
      <c r="N53" s="40"/>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2:74" ht="12.75" x14ac:dyDescent="0.2">
      <c r="B54" s="131" t="s">
        <v>51</v>
      </c>
      <c r="C54" s="132">
        <f t="shared" ref="C54:D54" si="16">+C48+SUM(C51:C53)</f>
        <v>3826.1352199999974</v>
      </c>
      <c r="D54" s="132">
        <f t="shared" si="16"/>
        <v>7943.6911800000107</v>
      </c>
      <c r="E54" s="132">
        <f t="shared" ref="E54:G54" si="17">+E48+SUM(E51:E53)</f>
        <v>5383.9102699999939</v>
      </c>
      <c r="F54" s="132">
        <f t="shared" si="17"/>
        <v>2274.2967200000012</v>
      </c>
      <c r="G54" s="133">
        <f t="shared" si="17"/>
        <v>1948.7012259585435</v>
      </c>
      <c r="H54" s="132">
        <f>+H48+SUM(H51:H53)</f>
        <v>597.7195999999808</v>
      </c>
      <c r="I54" s="3"/>
      <c r="J54" s="132">
        <f t="shared" ref="J54:N54" si="18">+J48+SUM(J51:J53)</f>
        <v>55.029907537596159</v>
      </c>
      <c r="K54" s="132">
        <f t="shared" si="18"/>
        <v>2804.6660261402285</v>
      </c>
      <c r="L54" s="132">
        <f t="shared" si="18"/>
        <v>4751.1498154077408</v>
      </c>
      <c r="M54" s="132">
        <f t="shared" si="18"/>
        <v>6601.3602506778407</v>
      </c>
      <c r="N54" s="132">
        <f t="shared" si="18"/>
        <v>8653.3347552968826</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2:74" ht="13.5" x14ac:dyDescent="0.25">
      <c r="B55" s="13" t="s">
        <v>52</v>
      </c>
      <c r="C55" s="14">
        <f t="shared" ref="C55:H55" si="19">+C54/C13</f>
        <v>3.6971659451295782E-2</v>
      </c>
      <c r="D55" s="14">
        <f t="shared" si="19"/>
        <v>6.0565133547804136E-2</v>
      </c>
      <c r="E55" s="14">
        <f t="shared" si="19"/>
        <v>4.6899514295343427E-2</v>
      </c>
      <c r="F55" s="14">
        <f t="shared" si="19"/>
        <v>2.1832145586936393E-2</v>
      </c>
      <c r="G55" s="21">
        <f t="shared" si="19"/>
        <v>1.8284237215184074E-2</v>
      </c>
      <c r="H55" s="14">
        <f t="shared" si="19"/>
        <v>7.4840594410590169E-3</v>
      </c>
      <c r="I55" s="3"/>
      <c r="J55" s="14">
        <f>+J54/J13</f>
        <v>4.9116962439008614E-4</v>
      </c>
      <c r="K55" s="14">
        <f>+K54/K13</f>
        <v>2.2819270940711484E-2</v>
      </c>
      <c r="L55" s="14">
        <f>+L54/L13</f>
        <v>3.5141212338853506E-2</v>
      </c>
      <c r="M55" s="14">
        <f>+M54/M13</f>
        <v>4.4254688945443148E-2</v>
      </c>
      <c r="N55" s="14">
        <f>+N54/N13</f>
        <v>5.2411742915441407E-2</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2:74" ht="3.75" customHeight="1" x14ac:dyDescent="0.2">
      <c r="B56" s="8"/>
      <c r="G56" s="16"/>
    </row>
    <row r="57" spans="2:74" ht="12.75" hidden="1" outlineLevel="1" x14ac:dyDescent="0.2">
      <c r="B57" s="2" t="s">
        <v>9</v>
      </c>
      <c r="C57" s="3">
        <f>+'&gt;&gt;LP Modelo '!C57/1000</f>
        <v>-490.97199999999998</v>
      </c>
      <c r="D57" s="3">
        <f>+'&gt;&gt;LP Modelo '!D57/1000</f>
        <v>-853.40300000000002</v>
      </c>
      <c r="E57" s="3">
        <f>+'&gt;&gt;LP Modelo '!E57/1000</f>
        <v>0</v>
      </c>
      <c r="F57" s="3">
        <f>+'&gt;&gt;LP Modelo '!F57/1000</f>
        <v>-83.728999999999999</v>
      </c>
      <c r="G57" s="17">
        <f>+'&gt;&gt;LP Modelo '!G57/1000</f>
        <v>-61.317213333333328</v>
      </c>
      <c r="H57" s="3">
        <f>+'&gt;&gt;LP Modelo '!H57/1000</f>
        <v>-45.987909999999999</v>
      </c>
      <c r="I57" s="3"/>
      <c r="J57" s="70">
        <f>-Pasivos!D24</f>
        <v>0</v>
      </c>
      <c r="K57" s="70">
        <f>-Pasivos!E24</f>
        <v>0</v>
      </c>
      <c r="L57" s="70">
        <f>-Pasivos!F24</f>
        <v>0</v>
      </c>
      <c r="M57" s="70">
        <f>-Pasivos!G24</f>
        <v>0</v>
      </c>
      <c r="N57" s="70">
        <f>-Pasivos!H24</f>
        <v>0</v>
      </c>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2:74" ht="12.75" hidden="1" outlineLevel="1" x14ac:dyDescent="0.2">
      <c r="B58" s="2" t="s">
        <v>10</v>
      </c>
      <c r="C58" s="4">
        <f>+'&gt;&gt;LP Modelo '!C58/1000</f>
        <v>156.45099999999999</v>
      </c>
      <c r="D58" s="4">
        <f>+'&gt;&gt;LP Modelo '!D58/1000</f>
        <v>105.925</v>
      </c>
      <c r="E58" s="4">
        <f>+'&gt;&gt;LP Modelo '!E58/1000</f>
        <v>289.70699999999999</v>
      </c>
      <c r="F58" s="4">
        <f>+'&gt;&gt;LP Modelo '!F58/1000</f>
        <v>128.739</v>
      </c>
      <c r="G58" s="18">
        <f>+'&gt;&gt;LP Modelo '!G58/1000</f>
        <v>0</v>
      </c>
      <c r="H58" s="4">
        <f>+'&gt;&gt;LP Modelo '!H58/1000</f>
        <v>0</v>
      </c>
      <c r="I58" s="3"/>
      <c r="J58" s="4"/>
      <c r="K58" s="4"/>
      <c r="L58" s="4"/>
      <c r="M58" s="4"/>
      <c r="N58" s="4"/>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2:74" ht="12.75" collapsed="1" x14ac:dyDescent="0.2">
      <c r="B59" s="10" t="s">
        <v>11</v>
      </c>
      <c r="C59" s="5">
        <f t="shared" ref="C59:D59" si="20">+SUM(C57:C58)</f>
        <v>-334.52099999999996</v>
      </c>
      <c r="D59" s="5">
        <f t="shared" si="20"/>
        <v>-747.47800000000007</v>
      </c>
      <c r="E59" s="5">
        <f t="shared" ref="E59:H59" si="21">+SUM(E57:E58)</f>
        <v>289.70699999999999</v>
      </c>
      <c r="F59" s="5">
        <f t="shared" si="21"/>
        <v>45.010000000000005</v>
      </c>
      <c r="G59" s="19">
        <f t="shared" si="21"/>
        <v>-61.317213333333328</v>
      </c>
      <c r="H59" s="5">
        <f t="shared" si="21"/>
        <v>-45.987909999999999</v>
      </c>
      <c r="I59" s="3"/>
      <c r="J59" s="5">
        <f t="shared" ref="J59:N59" si="22">+SUM(J57:J58)</f>
        <v>0</v>
      </c>
      <c r="K59" s="5">
        <f t="shared" si="22"/>
        <v>0</v>
      </c>
      <c r="L59" s="5">
        <f t="shared" si="22"/>
        <v>0</v>
      </c>
      <c r="M59" s="5">
        <f t="shared" si="22"/>
        <v>0</v>
      </c>
      <c r="N59" s="5">
        <f t="shared" si="22"/>
        <v>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2:74" ht="3.75" customHeight="1" x14ac:dyDescent="0.2">
      <c r="B60" s="8"/>
      <c r="G60" s="16"/>
    </row>
    <row r="61" spans="2:74" ht="13.5" hidden="1" outlineLevel="2" x14ac:dyDescent="0.25">
      <c r="B61" s="23" t="s">
        <v>12</v>
      </c>
      <c r="C61" s="30">
        <f>+'&gt;&gt;LP Modelo '!C61/1000</f>
        <v>-179.214</v>
      </c>
      <c r="D61" s="30">
        <f>+'&gt;&gt;LP Modelo '!D61/1000</f>
        <v>-250.57900000000001</v>
      </c>
      <c r="E61" s="30">
        <f>+'&gt;&gt;LP Modelo '!E61/1000</f>
        <v>-99.400999999999996</v>
      </c>
      <c r="F61" s="30">
        <f>+'&gt;&gt;LP Modelo '!F61/1000</f>
        <v>0</v>
      </c>
      <c r="G61" s="24">
        <f>+'&gt;&gt;LP Modelo '!G61/1000</f>
        <v>0</v>
      </c>
      <c r="H61" s="30">
        <f>+'&gt;&gt;LP Modelo '!H61/1000</f>
        <v>0</v>
      </c>
      <c r="I61" s="3"/>
      <c r="J61" s="42"/>
      <c r="K61" s="42"/>
      <c r="L61" s="42"/>
      <c r="M61" s="42"/>
      <c r="N61" s="42"/>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2:74" ht="12.75" hidden="1" outlineLevel="1" collapsed="1" x14ac:dyDescent="0.2">
      <c r="B62" s="2" t="s">
        <v>12</v>
      </c>
      <c r="C62" s="3">
        <f t="shared" ref="C62:F62" si="23">+SUM(C61:C61)</f>
        <v>-179.214</v>
      </c>
      <c r="D62" s="3">
        <f t="shared" si="23"/>
        <v>-250.57900000000001</v>
      </c>
      <c r="E62" s="3">
        <f t="shared" si="23"/>
        <v>-99.400999999999996</v>
      </c>
      <c r="F62" s="3">
        <f t="shared" si="23"/>
        <v>0</v>
      </c>
      <c r="G62" s="17"/>
      <c r="H62" s="3">
        <f>+SUM(H61:H61)</f>
        <v>0</v>
      </c>
      <c r="I62" s="3"/>
      <c r="J62" s="39">
        <f>+SUM(J61:J61)</f>
        <v>0</v>
      </c>
      <c r="K62" s="39">
        <f>+SUM(K61:K61)</f>
        <v>0</v>
      </c>
      <c r="L62" s="39">
        <f>+SUM(L61:L61)</f>
        <v>0</v>
      </c>
      <c r="M62" s="39">
        <f>+SUM(M61:M61)</f>
        <v>0</v>
      </c>
      <c r="N62" s="39">
        <f>+SUM(N61:N61)</f>
        <v>0</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row>
    <row r="63" spans="2:74" ht="3" customHeight="1" collapsed="1" x14ac:dyDescent="0.2">
      <c r="B63" s="8"/>
      <c r="G63" s="16"/>
    </row>
    <row r="64" spans="2:74" ht="13.5" hidden="1" outlineLevel="2" x14ac:dyDescent="0.25">
      <c r="B64" s="37" t="s">
        <v>48</v>
      </c>
      <c r="C64" s="30">
        <f>+'&gt;&gt;LP Modelo '!C64/1000</f>
        <v>0</v>
      </c>
      <c r="D64" s="30">
        <f>+'&gt;&gt;LP Modelo '!D64/1000</f>
        <v>0</v>
      </c>
      <c r="E64" s="30">
        <f>+'&gt;&gt;LP Modelo '!E64/1000</f>
        <v>0</v>
      </c>
      <c r="F64" s="30">
        <f>+'&gt;&gt;LP Modelo '!F64/1000</f>
        <v>93.385999999999996</v>
      </c>
      <c r="G64" s="24">
        <f>+'&gt;&gt;LP Modelo '!G64/1000</f>
        <v>-223.90179000000001</v>
      </c>
      <c r="H64" s="30">
        <f>+'&gt;&gt;LP Modelo '!H64/1000</f>
        <v>-223.90179000000001</v>
      </c>
      <c r="I64" s="3"/>
      <c r="J64" s="42"/>
      <c r="K64" s="42"/>
      <c r="L64" s="42"/>
      <c r="M64" s="42"/>
      <c r="N64" s="42"/>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row>
    <row r="65" spans="1:74" ht="12.75" hidden="1" outlineLevel="1" collapsed="1" x14ac:dyDescent="0.2">
      <c r="B65" s="2" t="s">
        <v>13</v>
      </c>
      <c r="C65" s="4">
        <f t="shared" ref="C65:H65" si="24">+SUM(C64:C64)</f>
        <v>0</v>
      </c>
      <c r="D65" s="4">
        <f t="shared" si="24"/>
        <v>0</v>
      </c>
      <c r="E65" s="4">
        <f t="shared" si="24"/>
        <v>0</v>
      </c>
      <c r="F65" s="4">
        <f t="shared" si="24"/>
        <v>93.385999999999996</v>
      </c>
      <c r="G65" s="18">
        <f t="shared" si="24"/>
        <v>-223.90179000000001</v>
      </c>
      <c r="H65" s="4">
        <f t="shared" si="24"/>
        <v>-223.90179000000001</v>
      </c>
      <c r="I65" s="3"/>
      <c r="J65" s="40">
        <f>+SUM(J64:J64)</f>
        <v>0</v>
      </c>
      <c r="K65" s="40">
        <f>+SUM(K64:K64)</f>
        <v>0</v>
      </c>
      <c r="L65" s="40">
        <f>+SUM(L64:L64)</f>
        <v>0</v>
      </c>
      <c r="M65" s="40">
        <f>+SUM(M64:M64)</f>
        <v>0</v>
      </c>
      <c r="N65" s="40">
        <f>+SUM(N64:N64)</f>
        <v>0</v>
      </c>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row>
    <row r="66" spans="1:74" ht="12.75" collapsed="1" x14ac:dyDescent="0.2">
      <c r="B66" s="8" t="s">
        <v>14</v>
      </c>
      <c r="C66" s="5">
        <f t="shared" ref="C66:H66" si="25">+C62+C65</f>
        <v>-179.214</v>
      </c>
      <c r="D66" s="5">
        <f t="shared" si="25"/>
        <v>-250.57900000000001</v>
      </c>
      <c r="E66" s="5">
        <f t="shared" si="25"/>
        <v>-99.400999999999996</v>
      </c>
      <c r="F66" s="5">
        <f t="shared" si="25"/>
        <v>93.385999999999996</v>
      </c>
      <c r="G66" s="19">
        <f t="shared" si="25"/>
        <v>-223.90179000000001</v>
      </c>
      <c r="H66" s="5">
        <f t="shared" si="25"/>
        <v>-223.90179000000001</v>
      </c>
      <c r="I66" s="3"/>
      <c r="J66" s="71">
        <f>+J62+J65</f>
        <v>0</v>
      </c>
      <c r="K66" s="71">
        <f>+K62+K65</f>
        <v>0</v>
      </c>
      <c r="L66" s="71">
        <f>+L62+L65</f>
        <v>0</v>
      </c>
      <c r="M66" s="71">
        <f>+M62+M65</f>
        <v>0</v>
      </c>
      <c r="N66" s="71">
        <f>+N62+N65</f>
        <v>0</v>
      </c>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row>
    <row r="67" spans="1:74" ht="3.75" customHeight="1" x14ac:dyDescent="0.2">
      <c r="B67" s="8"/>
      <c r="G67" s="16"/>
    </row>
    <row r="68" spans="1:74" ht="12.75" x14ac:dyDescent="0.2">
      <c r="B68" s="131" t="s">
        <v>15</v>
      </c>
      <c r="C68" s="132">
        <f t="shared" ref="C68:H68" si="26">+C48+C59+C66</f>
        <v>838.42199999999752</v>
      </c>
      <c r="D68" s="132">
        <f t="shared" si="26"/>
        <v>3961.9280000000113</v>
      </c>
      <c r="E68" s="132">
        <f t="shared" si="26"/>
        <v>1599.3099999999934</v>
      </c>
      <c r="F68" s="132">
        <f t="shared" si="26"/>
        <v>-1612.0469999999993</v>
      </c>
      <c r="G68" s="133">
        <f t="shared" si="26"/>
        <v>-1261.6933907081234</v>
      </c>
      <c r="H68" s="132">
        <f t="shared" si="26"/>
        <v>-1866.0518100000195</v>
      </c>
      <c r="I68" s="3"/>
      <c r="J68" s="132">
        <f>+J48+J59+J66</f>
        <v>-83.144034862403714</v>
      </c>
      <c r="K68" s="132">
        <f>+K48+K59+K66</f>
        <v>2550.2122472177289</v>
      </c>
      <c r="L68" s="132">
        <f>+L48+L59+L66</f>
        <v>4522.9591552943657</v>
      </c>
      <c r="M68" s="132">
        <f>+M48+M59+M66</f>
        <v>6262.4829584913969</v>
      </c>
      <c r="N68" s="132">
        <f>+N48+N59+N66</f>
        <v>8356.770244501331</v>
      </c>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1:74" ht="13.5" x14ac:dyDescent="0.25">
      <c r="B69" s="13" t="s">
        <v>16</v>
      </c>
      <c r="C69" s="14">
        <f t="shared" ref="C69:H69" si="27">+C68/C13</f>
        <v>8.1016092945283419E-3</v>
      </c>
      <c r="D69" s="14">
        <f t="shared" si="27"/>
        <v>3.0206952031433941E-2</v>
      </c>
      <c r="E69" s="14">
        <f t="shared" si="27"/>
        <v>1.3931670188791143E-2</v>
      </c>
      <c r="F69" s="14">
        <f t="shared" si="27"/>
        <v>-1.5474869434355961E-2</v>
      </c>
      <c r="G69" s="21">
        <f t="shared" si="27"/>
        <v>-1.1838193018629536E-2</v>
      </c>
      <c r="H69" s="14">
        <f t="shared" si="27"/>
        <v>-2.3364873204988361E-2</v>
      </c>
      <c r="I69" s="3"/>
      <c r="J69" s="14">
        <f>+J68/J13</f>
        <v>-7.4210236216993197E-4</v>
      </c>
      <c r="K69" s="14">
        <f>+K68/K13</f>
        <v>2.0748988893222488E-2</v>
      </c>
      <c r="L69" s="14">
        <f>+L68/L13</f>
        <v>3.3453432169349616E-2</v>
      </c>
      <c r="M69" s="14">
        <f>+M68/M13</f>
        <v>4.1982898195219331E-2</v>
      </c>
      <c r="N69" s="14">
        <f>+N68/N13</f>
        <v>5.0615503276365194E-2</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row>
    <row r="70" spans="1:74" ht="3.75" customHeight="1" x14ac:dyDescent="0.2">
      <c r="B70" s="8"/>
      <c r="G70" s="16"/>
    </row>
    <row r="71" spans="1:74" ht="12.75" x14ac:dyDescent="0.2">
      <c r="B71" s="76" t="s">
        <v>17</v>
      </c>
      <c r="C71" s="72">
        <f>+'&gt;&gt;LP Modelo '!C71/1000</f>
        <v>401.69</v>
      </c>
      <c r="D71" s="72">
        <f>+'&gt;&gt;LP Modelo '!D71/1000</f>
        <v>1308.837</v>
      </c>
      <c r="E71" s="72">
        <f>+'&gt;&gt;LP Modelo '!E71/1000</f>
        <v>936.17600000000004</v>
      </c>
      <c r="F71" s="72">
        <f>+'&gt;&gt;LP Modelo '!F71/1000</f>
        <v>372.87400000000002</v>
      </c>
      <c r="G71" s="28">
        <f>+'&gt;&gt;LP Modelo '!G71/1000</f>
        <v>0</v>
      </c>
      <c r="H71" s="29">
        <f>+'&gt;&gt;LP Modelo '!H71/1000</f>
        <v>0</v>
      </c>
      <c r="I71" s="250">
        <v>0.35</v>
      </c>
      <c r="J71" s="72">
        <f>+IF(J68&lt;0,0,J68*$I$71)</f>
        <v>0</v>
      </c>
      <c r="K71" s="72">
        <f t="shared" ref="K71:N71" si="28">+IF(K68&lt;0,0,K68*$I$71)</f>
        <v>892.57428652620501</v>
      </c>
      <c r="L71" s="72">
        <f t="shared" si="28"/>
        <v>1583.035704353028</v>
      </c>
      <c r="M71" s="72">
        <f t="shared" si="28"/>
        <v>2191.8690354719888</v>
      </c>
      <c r="N71" s="72">
        <f t="shared" si="28"/>
        <v>2924.8695855754659</v>
      </c>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1:74" ht="12.75" x14ac:dyDescent="0.2">
      <c r="B72" s="131" t="s">
        <v>18</v>
      </c>
      <c r="C72" s="132">
        <f t="shared" ref="C72:H72" si="29">+C68-C71</f>
        <v>436.73199999999753</v>
      </c>
      <c r="D72" s="132">
        <f t="shared" si="29"/>
        <v>2653.0910000000113</v>
      </c>
      <c r="E72" s="132">
        <f t="shared" si="29"/>
        <v>663.13399999999331</v>
      </c>
      <c r="F72" s="132">
        <f t="shared" si="29"/>
        <v>-1984.9209999999994</v>
      </c>
      <c r="G72" s="133">
        <f t="shared" si="29"/>
        <v>-1261.6933907081234</v>
      </c>
      <c r="H72" s="132">
        <f t="shared" si="29"/>
        <v>-1866.0518100000195</v>
      </c>
      <c r="I72" s="3"/>
      <c r="J72" s="132">
        <f t="shared" ref="J72:N72" si="30">+J68-J71</f>
        <v>-83.144034862403714</v>
      </c>
      <c r="K72" s="132">
        <f t="shared" si="30"/>
        <v>1657.6379606915239</v>
      </c>
      <c r="L72" s="132">
        <f t="shared" si="30"/>
        <v>2939.9234509413377</v>
      </c>
      <c r="M72" s="132">
        <f t="shared" si="30"/>
        <v>4070.613923019408</v>
      </c>
      <c r="N72" s="132">
        <f t="shared" si="30"/>
        <v>5431.9006589258652</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1:74" ht="13.5" x14ac:dyDescent="0.25">
      <c r="B73" s="13" t="s">
        <v>19</v>
      </c>
      <c r="C73" s="14">
        <f t="shared" ref="C73:H73" si="31">+C72/C13</f>
        <v>4.2201087643429468E-3</v>
      </c>
      <c r="D73" s="14">
        <f t="shared" si="31"/>
        <v>2.022797803797273E-2</v>
      </c>
      <c r="E73" s="14">
        <f t="shared" si="31"/>
        <v>5.7765937679210228E-3</v>
      </c>
      <c r="F73" s="14">
        <f t="shared" si="31"/>
        <v>-1.9054279008311338E-2</v>
      </c>
      <c r="G73" s="22">
        <f t="shared" si="31"/>
        <v>-1.1838193018629536E-2</v>
      </c>
      <c r="H73" s="14">
        <f t="shared" si="31"/>
        <v>-2.3364873204988361E-2</v>
      </c>
      <c r="I73" s="3"/>
      <c r="J73" s="14">
        <f>+J72/J13</f>
        <v>-7.4210236216993197E-4</v>
      </c>
      <c r="K73" s="14">
        <f>+K72/K13</f>
        <v>1.3486842780594617E-2</v>
      </c>
      <c r="L73" s="14">
        <f>+L72/L13</f>
        <v>2.174473091007725E-2</v>
      </c>
      <c r="M73" s="14">
        <f>+M72/M13</f>
        <v>2.7288883826892565E-2</v>
      </c>
      <c r="N73" s="14">
        <f>+N72/N13</f>
        <v>3.2900077129637377E-2</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1:74" ht="12.75" x14ac:dyDescent="0.2">
      <c r="C74" s="77"/>
      <c r="D74" s="77"/>
      <c r="E74" s="77"/>
      <c r="F74" s="77"/>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1:74" ht="12.75" x14ac:dyDescent="0.2">
      <c r="C75" s="77"/>
      <c r="D75" s="77"/>
      <c r="E75" s="77"/>
      <c r="F75" s="77"/>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row>
    <row r="76" spans="1:74" ht="12.75" x14ac:dyDescent="0.2">
      <c r="A76" s="1" t="s">
        <v>132</v>
      </c>
      <c r="B76" s="82" t="s">
        <v>135</v>
      </c>
      <c r="C76" s="415"/>
      <c r="D76" s="415"/>
      <c r="E76" s="415"/>
      <c r="F76" s="415"/>
      <c r="G76" s="415"/>
      <c r="H76" s="415"/>
      <c r="I76" s="3"/>
      <c r="J76" s="415" t="s">
        <v>60</v>
      </c>
      <c r="K76" s="415"/>
      <c r="L76" s="415"/>
      <c r="M76" s="415"/>
      <c r="N76" s="415"/>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row>
    <row r="77" spans="1:74" ht="27" customHeight="1" x14ac:dyDescent="0.2">
      <c r="B77" s="11" t="s">
        <v>5</v>
      </c>
      <c r="C77" s="11">
        <f t="shared" ref="C77:H77" si="32">+C6</f>
        <v>2010</v>
      </c>
      <c r="D77" s="11">
        <f t="shared" si="32"/>
        <v>2011</v>
      </c>
      <c r="E77" s="11">
        <f t="shared" si="32"/>
        <v>2012</v>
      </c>
      <c r="F77" s="11">
        <f t="shared" si="32"/>
        <v>2013</v>
      </c>
      <c r="G77" s="15" t="str">
        <f t="shared" si="32"/>
        <v>2014
anualizado</v>
      </c>
      <c r="H77" s="81" t="str">
        <f t="shared" si="32"/>
        <v xml:space="preserve">2014 Sep Real </v>
      </c>
      <c r="I77" s="81" t="s">
        <v>61</v>
      </c>
      <c r="J77" s="11">
        <f>+J6</f>
        <v>2015</v>
      </c>
      <c r="K77" s="11">
        <f>+K6</f>
        <v>2016</v>
      </c>
      <c r="L77" s="11">
        <f>+L6</f>
        <v>2017</v>
      </c>
      <c r="M77" s="11">
        <f>+M6</f>
        <v>2018</v>
      </c>
      <c r="N77" s="11">
        <f>+N6</f>
        <v>2019</v>
      </c>
      <c r="O77" s="81" t="s">
        <v>62</v>
      </c>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row>
    <row r="78" spans="1:74" ht="3.75" customHeight="1" x14ac:dyDescent="0.2">
      <c r="B78" s="8"/>
      <c r="G78" s="16"/>
    </row>
    <row r="79" spans="1:74" ht="12.75" outlineLevel="1" x14ac:dyDescent="0.2">
      <c r="B79" s="35" t="s">
        <v>20</v>
      </c>
      <c r="C79" s="3">
        <f>+'&gt;&gt;LP Modelo '!C79/1000</f>
        <v>3274.373</v>
      </c>
      <c r="D79" s="3">
        <f>+'&gt;&gt;LP Modelo '!D79/1000</f>
        <v>801.70600000000002</v>
      </c>
      <c r="E79" s="3">
        <f>+'&gt;&gt;LP Modelo '!E79/1000</f>
        <v>5167.0820000000003</v>
      </c>
      <c r="F79" s="3">
        <f>+'&gt;&gt;LP Modelo '!F79/1000</f>
        <v>3870.1170000000002</v>
      </c>
      <c r="G79" s="17">
        <f>+'&gt;&gt;LP Modelo '!G79/1000</f>
        <v>0</v>
      </c>
      <c r="H79" s="3">
        <f>+'&gt;&gt;LP Modelo '!H79/1000</f>
        <v>4672.2587800000001</v>
      </c>
      <c r="I79" s="3"/>
      <c r="J79" s="3">
        <f>+'&gt;&gt;LP Modelo '!J79/1000</f>
        <v>3112.1805315407414</v>
      </c>
      <c r="K79" s="3">
        <f>+'&gt;&gt;LP Modelo '!K79/1000</f>
        <v>3414.1051139374072</v>
      </c>
      <c r="L79" s="3">
        <f>+'&gt;&gt;LP Modelo '!L79/1000</f>
        <v>3755.6013289674652</v>
      </c>
      <c r="M79" s="3">
        <f>+'&gt;&gt;LP Modelo '!M79/1000</f>
        <v>4143.5409996993312</v>
      </c>
      <c r="N79" s="3">
        <f>+'&gt;&gt;LP Modelo '!N79/1000</f>
        <v>4586.1937897611979</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row>
    <row r="80" spans="1:74" ht="12.75" hidden="1" outlineLevel="1" x14ac:dyDescent="0.2">
      <c r="B80" s="35" t="s">
        <v>317</v>
      </c>
      <c r="C80" s="55">
        <f>+'&gt;&gt;LP Modelo '!C80/1000</f>
        <v>0</v>
      </c>
      <c r="D80" s="55">
        <f>+'&gt;&gt;LP Modelo '!D80/1000</f>
        <v>0</v>
      </c>
      <c r="E80" s="55">
        <f>+'&gt;&gt;LP Modelo '!E80/1000</f>
        <v>0</v>
      </c>
      <c r="F80" s="55">
        <f>+'&gt;&gt;LP Modelo '!F80/1000</f>
        <v>0</v>
      </c>
      <c r="G80" s="17">
        <f>+'&gt;&gt;LP Modelo '!G80/1000</f>
        <v>0</v>
      </c>
      <c r="H80" s="3">
        <f>+'&gt;&gt;LP Modelo '!H80/1000</f>
        <v>0.5</v>
      </c>
      <c r="I80" s="3"/>
      <c r="J80" s="3">
        <f>+'&gt;&gt;LP Modelo '!J80/1000</f>
        <v>0</v>
      </c>
      <c r="K80" s="3">
        <f>+'&gt;&gt;LP Modelo '!K80/1000</f>
        <v>0</v>
      </c>
      <c r="L80" s="3">
        <f>+'&gt;&gt;LP Modelo '!L80/1000</f>
        <v>0</v>
      </c>
      <c r="M80" s="3">
        <f>+'&gt;&gt;LP Modelo '!M80/1000</f>
        <v>0</v>
      </c>
      <c r="N80" s="3">
        <f>+'&gt;&gt;LP Modelo '!N80/1000</f>
        <v>0</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row>
    <row r="81" spans="2:74" ht="12.75" outlineLevel="1" x14ac:dyDescent="0.2">
      <c r="B81" s="35" t="s">
        <v>21</v>
      </c>
      <c r="C81" s="3">
        <f>+'&gt;&gt;LP Modelo '!C81/1000</f>
        <v>17613.41</v>
      </c>
      <c r="D81" s="3">
        <f>+'&gt;&gt;LP Modelo '!D81/1000</f>
        <v>19245.21</v>
      </c>
      <c r="E81" s="3">
        <f>+'&gt;&gt;LP Modelo '!E81/1000</f>
        <v>9146.0130000000008</v>
      </c>
      <c r="F81" s="3">
        <f>+'&gt;&gt;LP Modelo '!F81/1000</f>
        <v>13532.476000000001</v>
      </c>
      <c r="G81" s="17">
        <f>+'&gt;&gt;LP Modelo '!G81/1000</f>
        <v>0</v>
      </c>
      <c r="H81" s="3">
        <f>+'&gt;&gt;LP Modelo '!H81/1000</f>
        <v>16014.88831</v>
      </c>
      <c r="I81" s="3"/>
      <c r="J81" s="3">
        <f>+'&gt;&gt;LP Modelo '!J81/1000</f>
        <v>14004.812391933336</v>
      </c>
      <c r="K81" s="3">
        <f>+'&gt;&gt;LP Modelo '!K81/1000</f>
        <v>15363.473012718332</v>
      </c>
      <c r="L81" s="3">
        <f>+'&gt;&gt;LP Modelo '!L81/1000</f>
        <v>16900.205980353592</v>
      </c>
      <c r="M81" s="3">
        <f>+'&gt;&gt;LP Modelo '!M81/1000</f>
        <v>18645.934498646988</v>
      </c>
      <c r="N81" s="3">
        <f>+'&gt;&gt;LP Modelo '!N81/1000</f>
        <v>20637.872053925392</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row>
    <row r="82" spans="2:74" ht="12.75" outlineLevel="1" x14ac:dyDescent="0.2">
      <c r="B82" s="35" t="s">
        <v>22</v>
      </c>
      <c r="C82" s="3">
        <f>+'&gt;&gt;LP Modelo '!C82/1000</f>
        <v>814.72</v>
      </c>
      <c r="D82" s="3">
        <f>+'&gt;&gt;LP Modelo '!D82/1000</f>
        <v>389.58</v>
      </c>
      <c r="E82" s="3">
        <f>+'&gt;&gt;LP Modelo '!E82/1000</f>
        <v>381.06200000000001</v>
      </c>
      <c r="F82" s="3">
        <f>+'&gt;&gt;LP Modelo '!F82/1000</f>
        <v>384.17099999999999</v>
      </c>
      <c r="G82" s="17">
        <f>+'&gt;&gt;LP Modelo '!G82/1000</f>
        <v>0</v>
      </c>
      <c r="H82" s="3">
        <f>+'&gt;&gt;LP Modelo '!H82/1000</f>
        <v>356.13948999999997</v>
      </c>
      <c r="I82" s="3"/>
      <c r="J82" s="3">
        <f>+'&gt;&gt;LP Modelo '!J82/1000</f>
        <v>622.43610630814828</v>
      </c>
      <c r="K82" s="3">
        <f>+'&gt;&gt;LP Modelo '!K82/1000</f>
        <v>682.82102278748141</v>
      </c>
      <c r="L82" s="3">
        <f>+'&gt;&gt;LP Modelo '!L82/1000</f>
        <v>751.12026579349299</v>
      </c>
      <c r="M82" s="3">
        <f>+'&gt;&gt;LP Modelo '!M82/1000</f>
        <v>828.70819993986618</v>
      </c>
      <c r="N82" s="3">
        <f>+'&gt;&gt;LP Modelo '!N82/1000</f>
        <v>917.23875795223955</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row>
    <row r="83" spans="2:74" ht="12.75" outlineLevel="1" x14ac:dyDescent="0.2">
      <c r="B83" s="33" t="s">
        <v>23</v>
      </c>
      <c r="C83" s="3">
        <f>+'&gt;&gt;LP Modelo '!C83/1000</f>
        <v>11100.441999999999</v>
      </c>
      <c r="D83" s="3">
        <f>+'&gt;&gt;LP Modelo '!D83/1000</f>
        <v>18300.438999999998</v>
      </c>
      <c r="E83" s="3">
        <f>+'&gt;&gt;LP Modelo '!E83/1000</f>
        <v>19923.316999999999</v>
      </c>
      <c r="F83" s="3">
        <f>+'&gt;&gt;LP Modelo '!F83/1000</f>
        <v>9639.2369999999992</v>
      </c>
      <c r="G83" s="17">
        <f>+'&gt;&gt;LP Modelo '!G83/1000</f>
        <v>0</v>
      </c>
      <c r="H83" s="3">
        <f>+'&gt;&gt;LP Modelo '!H83/1000</f>
        <v>11471.13688</v>
      </c>
      <c r="I83" s="3"/>
      <c r="J83" s="3">
        <f>+'&gt;&gt;LP Modelo '!J83/1000</f>
        <v>11071.075731840043</v>
      </c>
      <c r="K83" s="3">
        <f>+'&gt;&gt;LP Modelo '!K83/1000</f>
        <v>11872.08624924889</v>
      </c>
      <c r="L83" s="3">
        <f>+'&gt;&gt;LP Modelo '!L83/1000</f>
        <v>12890.265025078465</v>
      </c>
      <c r="M83" s="3">
        <f>+'&gt;&gt;LP Modelo '!M83/1000</f>
        <v>14103.099535816888</v>
      </c>
      <c r="N83" s="3">
        <f>+'&gt;&gt;LP Modelo '!N83/1000</f>
        <v>15475.313225240379</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row>
    <row r="84" spans="2:74" ht="12.75" outlineLevel="1" x14ac:dyDescent="0.2">
      <c r="B84" s="33" t="s">
        <v>24</v>
      </c>
      <c r="C84" s="3">
        <f>+'&gt;&gt;LP Modelo '!C84/1000</f>
        <v>4830.0450000000001</v>
      </c>
      <c r="D84" s="3">
        <f>+'&gt;&gt;LP Modelo '!D84/1000</f>
        <v>3831.8150000000001</v>
      </c>
      <c r="E84" s="3">
        <f>+'&gt;&gt;LP Modelo '!E84/1000</f>
        <v>3662.2060000000001</v>
      </c>
      <c r="F84" s="3">
        <f>+'&gt;&gt;LP Modelo '!F84/1000</f>
        <v>2531.3510000000001</v>
      </c>
      <c r="G84" s="17">
        <f>+'&gt;&gt;LP Modelo '!G84/1000</f>
        <v>0</v>
      </c>
      <c r="H84" s="3">
        <f>+'&gt;&gt;LP Modelo '!H84/1000</f>
        <v>3683.2909199999999</v>
      </c>
      <c r="I84" s="3"/>
      <c r="J84" s="3">
        <f>+'&gt;&gt;LP Modelo '!J84/1000</f>
        <v>3112.1805315407414</v>
      </c>
      <c r="K84" s="3">
        <f>+'&gt;&gt;LP Modelo '!K84/1000</f>
        <v>3414.1051139374072</v>
      </c>
      <c r="L84" s="3">
        <f>+'&gt;&gt;LP Modelo '!L84/1000</f>
        <v>3755.6013289674652</v>
      </c>
      <c r="M84" s="3">
        <f>+'&gt;&gt;LP Modelo '!M84/1000</f>
        <v>4143.5409996993312</v>
      </c>
      <c r="N84" s="3">
        <f>+'&gt;&gt;LP Modelo '!N84/1000</f>
        <v>4586.1937897611979</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row>
    <row r="85" spans="2:74" ht="12.75" outlineLevel="1" x14ac:dyDescent="0.2">
      <c r="B85" s="35" t="s">
        <v>25</v>
      </c>
      <c r="C85" s="4">
        <f>+'&gt;&gt;LP Modelo '!C85/1000</f>
        <v>172.233</v>
      </c>
      <c r="D85" s="4">
        <f>+'&gt;&gt;LP Modelo '!D85/1000</f>
        <v>266.05700000000002</v>
      </c>
      <c r="E85" s="4">
        <f>+'&gt;&gt;LP Modelo '!E85/1000</f>
        <v>315.70699999999999</v>
      </c>
      <c r="F85" s="4">
        <f>+'&gt;&gt;LP Modelo '!F85/1000</f>
        <v>342.245</v>
      </c>
      <c r="G85" s="18">
        <f>+'&gt;&gt;LP Modelo '!G85/1000</f>
        <v>0</v>
      </c>
      <c r="H85" s="4">
        <f>+'&gt;&gt;LP Modelo '!H85/1000</f>
        <v>861.53271999999993</v>
      </c>
      <c r="I85" s="3"/>
      <c r="J85" s="55">
        <f>+'&gt;&gt;LP Modelo '!J85/1000</f>
        <v>311.21805315407414</v>
      </c>
      <c r="K85" s="55">
        <f>+'&gt;&gt;LP Modelo '!K85/1000</f>
        <v>341.41051139374071</v>
      </c>
      <c r="L85" s="55">
        <f>+'&gt;&gt;LP Modelo '!L85/1000</f>
        <v>375.5601328967465</v>
      </c>
      <c r="M85" s="55">
        <f>+'&gt;&gt;LP Modelo '!M85/1000</f>
        <v>414.35409996993309</v>
      </c>
      <c r="N85" s="55">
        <f>+'&gt;&gt;LP Modelo '!N85/1000</f>
        <v>458.61937897611978</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row>
    <row r="86" spans="2:74" ht="12.75" x14ac:dyDescent="0.2">
      <c r="B86" s="134" t="s">
        <v>26</v>
      </c>
      <c r="C86" s="132">
        <f t="shared" ref="C86:H86" si="33">+SUM(C79:C85)</f>
        <v>37805.222999999998</v>
      </c>
      <c r="D86" s="132">
        <f t="shared" si="33"/>
        <v>42834.807000000001</v>
      </c>
      <c r="E86" s="132">
        <f t="shared" si="33"/>
        <v>38595.387000000002</v>
      </c>
      <c r="F86" s="132">
        <f t="shared" si="33"/>
        <v>30299.596999999994</v>
      </c>
      <c r="G86" s="133">
        <f t="shared" si="33"/>
        <v>0</v>
      </c>
      <c r="H86" s="132">
        <f t="shared" si="33"/>
        <v>37059.747100000001</v>
      </c>
      <c r="I86" s="3"/>
      <c r="J86" s="132">
        <f>+SUM(J79:J85)</f>
        <v>32233.903346317082</v>
      </c>
      <c r="K86" s="132">
        <f>+SUM(K79:K85)</f>
        <v>35088.001024023259</v>
      </c>
      <c r="L86" s="132">
        <f>+SUM(L79:L85)</f>
        <v>38428.354062057224</v>
      </c>
      <c r="M86" s="132">
        <f>+SUM(M79:M85)</f>
        <v>42279.178333772339</v>
      </c>
      <c r="N86" s="132">
        <f>+SUM(N79:N85)</f>
        <v>46661.430995616523</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2:74" ht="3.75" customHeight="1" x14ac:dyDescent="0.2">
      <c r="B87" s="8"/>
      <c r="G87" s="16"/>
      <c r="J87" s="26"/>
      <c r="K87" s="26"/>
      <c r="L87" s="26"/>
      <c r="M87" s="26"/>
      <c r="N87" s="26"/>
      <c r="O87" s="26"/>
    </row>
    <row r="88" spans="2:74" ht="12.75" outlineLevel="1" x14ac:dyDescent="0.2">
      <c r="B88" s="35" t="s">
        <v>27</v>
      </c>
      <c r="C88" s="3">
        <f>+'&gt;&gt;LP Modelo '!C88/1000</f>
        <v>0.95899999999999996</v>
      </c>
      <c r="D88" s="3">
        <f>+'&gt;&gt;LP Modelo '!D88/1000</f>
        <v>0.95899999999999996</v>
      </c>
      <c r="E88" s="3">
        <f>+'&gt;&gt;LP Modelo '!E88/1000</f>
        <v>0.95899999999999996</v>
      </c>
      <c r="F88" s="3">
        <f>+'&gt;&gt;LP Modelo '!F88/1000</f>
        <v>0.95899999999999996</v>
      </c>
      <c r="G88" s="17">
        <f>+'&gt;&gt;LP Modelo '!G88/1000</f>
        <v>0</v>
      </c>
      <c r="H88" s="3">
        <f>+'&gt;&gt;LP Modelo '!H88/1000</f>
        <v>0.95860999999986962</v>
      </c>
      <c r="I88" s="3"/>
      <c r="J88" s="3">
        <f>+'&gt;&gt;LP Modelo '!J88/1000</f>
        <v>0</v>
      </c>
      <c r="K88" s="3">
        <f>+'&gt;&gt;LP Modelo '!K88/1000</f>
        <v>0</v>
      </c>
      <c r="L88" s="3">
        <f>+'&gt;&gt;LP Modelo '!L88/1000</f>
        <v>0</v>
      </c>
      <c r="M88" s="3">
        <f>+'&gt;&gt;LP Modelo '!M88/1000</f>
        <v>0</v>
      </c>
      <c r="N88" s="3">
        <f>+'&gt;&gt;LP Modelo '!N88/1000</f>
        <v>0</v>
      </c>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row>
    <row r="89" spans="2:74" ht="12.75" outlineLevel="1" x14ac:dyDescent="0.2">
      <c r="B89" s="35" t="s">
        <v>28</v>
      </c>
      <c r="C89" s="3">
        <f>+'&gt;&gt;LP Modelo '!C89/1000</f>
        <v>8.1329999999999991</v>
      </c>
      <c r="D89" s="3">
        <f>+'&gt;&gt;LP Modelo '!D89/1000</f>
        <v>8.1329999999999991</v>
      </c>
      <c r="E89" s="3">
        <f>+'&gt;&gt;LP Modelo '!E89/1000</f>
        <v>8.1329999999999991</v>
      </c>
      <c r="F89" s="3">
        <f>+'&gt;&gt;LP Modelo '!F89/1000</f>
        <v>8.1329999999999991</v>
      </c>
      <c r="G89" s="17">
        <f>+'&gt;&gt;LP Modelo '!G89/1000</f>
        <v>0</v>
      </c>
      <c r="H89" s="3">
        <f>+'&gt;&gt;LP Modelo '!H89/1000</f>
        <v>8.1326999999992555</v>
      </c>
      <c r="I89" s="3"/>
      <c r="J89" s="3">
        <f>+'&gt;&gt;LP Modelo '!J89/1000</f>
        <v>0</v>
      </c>
      <c r="K89" s="3">
        <f>+'&gt;&gt;LP Modelo '!K89/1000</f>
        <v>0</v>
      </c>
      <c r="L89" s="3">
        <f>+'&gt;&gt;LP Modelo '!L89/1000</f>
        <v>0</v>
      </c>
      <c r="M89" s="3">
        <f>+'&gt;&gt;LP Modelo '!M89/1000</f>
        <v>0</v>
      </c>
      <c r="N89" s="3">
        <f>+'&gt;&gt;LP Modelo '!N89/1000</f>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row>
    <row r="90" spans="2:74" ht="12.75" outlineLevel="1" x14ac:dyDescent="0.2">
      <c r="B90" s="35" t="s">
        <v>30</v>
      </c>
      <c r="C90" s="3">
        <f>+'&gt;&gt;LP Modelo '!C90/1000</f>
        <v>2744.4560000000001</v>
      </c>
      <c r="D90" s="3">
        <f>+'&gt;&gt;LP Modelo '!D90/1000</f>
        <v>2744.4560000000001</v>
      </c>
      <c r="E90" s="3">
        <f>+'&gt;&gt;LP Modelo '!E90/1000</f>
        <v>2814.9639999999999</v>
      </c>
      <c r="F90" s="3">
        <f>+'&gt;&gt;LP Modelo '!F90/1000</f>
        <v>2830.692</v>
      </c>
      <c r="G90" s="17">
        <f>+'&gt;&gt;LP Modelo '!G90/1000</f>
        <v>0</v>
      </c>
      <c r="H90" s="3">
        <f>+'&gt;&gt;LP Modelo '!H90/1000</f>
        <v>2840.4920499999998</v>
      </c>
      <c r="I90" s="3"/>
      <c r="J90" s="3">
        <f>+'&gt;&gt;LP Modelo '!J90/1000</f>
        <v>2982.5166525</v>
      </c>
      <c r="K90" s="3">
        <f>+'&gt;&gt;LP Modelo '!K90/1000</f>
        <v>3131.6424851249994</v>
      </c>
      <c r="L90" s="3">
        <f>+'&gt;&gt;LP Modelo '!L90/1000</f>
        <v>3288.2246093812496</v>
      </c>
      <c r="M90" s="3">
        <f>+'&gt;&gt;LP Modelo '!M90/1000</f>
        <v>3452.6358398503121</v>
      </c>
      <c r="N90" s="3">
        <f>+'&gt;&gt;LP Modelo '!N90/1000</f>
        <v>3625.267631842828</v>
      </c>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row>
    <row r="91" spans="2:74" ht="12.75" outlineLevel="1" x14ac:dyDescent="0.2">
      <c r="B91" s="35" t="s">
        <v>31</v>
      </c>
      <c r="C91" s="3">
        <f>+'&gt;&gt;LP Modelo '!C91/1000</f>
        <v>1079.6210000000001</v>
      </c>
      <c r="D91" s="3">
        <f>+'&gt;&gt;LP Modelo '!D91/1000</f>
        <v>1079.6210000000001</v>
      </c>
      <c r="E91" s="3">
        <f>+'&gt;&gt;LP Modelo '!E91/1000</f>
        <v>1122.018</v>
      </c>
      <c r="F91" s="3">
        <f>+'&gt;&gt;LP Modelo '!F91/1000</f>
        <v>1122.018</v>
      </c>
      <c r="G91" s="17">
        <f>+'&gt;&gt;LP Modelo '!G91/1000</f>
        <v>0</v>
      </c>
      <c r="H91" s="3">
        <f>+'&gt;&gt;LP Modelo '!H91/1000</f>
        <v>1122.0182299999999</v>
      </c>
      <c r="I91" s="3"/>
      <c r="J91" s="3">
        <f>+'&gt;&gt;LP Modelo '!J91/1000</f>
        <v>1178.1191414999998</v>
      </c>
      <c r="K91" s="3">
        <f>+'&gt;&gt;LP Modelo '!K91/1000</f>
        <v>1178.1191414999998</v>
      </c>
      <c r="L91" s="3">
        <f>+'&gt;&gt;LP Modelo '!L91/1000</f>
        <v>1237.0250985749999</v>
      </c>
      <c r="M91" s="3">
        <f>+'&gt;&gt;LP Modelo '!M91/1000</f>
        <v>1237.0250985749999</v>
      </c>
      <c r="N91" s="3">
        <f>+'&gt;&gt;LP Modelo '!N91/1000</f>
        <v>1298.8763535037499</v>
      </c>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row>
    <row r="92" spans="2:74" ht="12.75" outlineLevel="1" x14ac:dyDescent="0.2">
      <c r="B92" s="35" t="s">
        <v>29</v>
      </c>
      <c r="C92" s="3">
        <f>+'&gt;&gt;LP Modelo '!C92/1000</f>
        <v>4610.5780000000004</v>
      </c>
      <c r="D92" s="3">
        <f>+'&gt;&gt;LP Modelo '!D92/1000</f>
        <v>4610.5780000000004</v>
      </c>
      <c r="E92" s="3">
        <f>+'&gt;&gt;LP Modelo '!E92/1000</f>
        <v>4851.8900000000003</v>
      </c>
      <c r="F92" s="3">
        <f>+'&gt;&gt;LP Modelo '!F92/1000</f>
        <v>4851.8900000000003</v>
      </c>
      <c r="G92" s="17">
        <f>+'&gt;&gt;LP Modelo '!G92/1000</f>
        <v>0</v>
      </c>
      <c r="H92" s="3">
        <f>+'&gt;&gt;LP Modelo '!H92/1000</f>
        <v>4851.8904299999995</v>
      </c>
      <c r="I92" s="3"/>
      <c r="J92" s="3">
        <f>+'&gt;&gt;LP Modelo '!J92/1000</f>
        <v>4851.8904299999995</v>
      </c>
      <c r="K92" s="3">
        <f>+'&gt;&gt;LP Modelo '!K92/1000</f>
        <v>5337.0794729999989</v>
      </c>
      <c r="L92" s="3">
        <f>+'&gt;&gt;LP Modelo '!L92/1000</f>
        <v>5337.0794729999989</v>
      </c>
      <c r="M92" s="3">
        <f>+'&gt;&gt;LP Modelo '!M92/1000</f>
        <v>5870.7874202999992</v>
      </c>
      <c r="N92" s="3">
        <f>+'&gt;&gt;LP Modelo '!N92/1000</f>
        <v>5870.7874202999992</v>
      </c>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2:74" ht="12.75" outlineLevel="1" x14ac:dyDescent="0.2">
      <c r="B93" s="35" t="s">
        <v>32</v>
      </c>
      <c r="C93" s="3">
        <f>+'&gt;&gt;LP Modelo '!C93/1000</f>
        <v>-6352.7610000000004</v>
      </c>
      <c r="D93" s="3">
        <f>+'&gt;&gt;LP Modelo '!D93/1000</f>
        <v>-6352.7610000000004</v>
      </c>
      <c r="E93" s="3">
        <f>+'&gt;&gt;LP Modelo '!E93/1000</f>
        <v>-7184.491</v>
      </c>
      <c r="F93" s="3">
        <f>+'&gt;&gt;LP Modelo '!F93/1000</f>
        <v>-7868.7079999999996</v>
      </c>
      <c r="G93" s="17">
        <f>+'&gt;&gt;LP Modelo '!G93/1000</f>
        <v>0</v>
      </c>
      <c r="H93" s="3">
        <f>+'&gt;&gt;LP Modelo '!H93/1000</f>
        <v>-8114.42407</v>
      </c>
      <c r="I93" s="3"/>
      <c r="J93" s="3">
        <f>+'&gt;&gt;LP Modelo '!J93/1000</f>
        <v>-8236.0980123999998</v>
      </c>
      <c r="K93" s="3">
        <f>+'&gt;&gt;LP Modelo '!K93/1000</f>
        <v>-8474.0517913224994</v>
      </c>
      <c r="L93" s="3">
        <f>+'&gt;&gt;LP Modelo '!L93/1000</f>
        <v>-8685.7424514358754</v>
      </c>
      <c r="M93" s="3">
        <f>+'&gt;&gt;LP Modelo '!M93/1000</f>
        <v>-9008.1197436223192</v>
      </c>
      <c r="N93" s="3">
        <f>+'&gt;&gt;LP Modelo '!N93/1000</f>
        <v>-9288.1842544178708</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row>
    <row r="94" spans="2:74" ht="12.75" outlineLevel="1" x14ac:dyDescent="0.2">
      <c r="B94" s="35" t="s">
        <v>378</v>
      </c>
      <c r="C94" s="3">
        <f>+'&gt;&gt;LP Modelo '!C94/1000</f>
        <v>23034.793000000001</v>
      </c>
      <c r="D94" s="3">
        <f>+'&gt;&gt;LP Modelo '!D94/1000</f>
        <v>23034.793000000001</v>
      </c>
      <c r="E94" s="3">
        <f>+'&gt;&gt;LP Modelo '!E94/1000</f>
        <v>23034.793000000001</v>
      </c>
      <c r="F94" s="3">
        <f>+'&gt;&gt;LP Modelo '!F94/1000</f>
        <v>23034.793000000001</v>
      </c>
      <c r="G94" s="17">
        <f>+'&gt;&gt;LP Modelo '!G94/1000</f>
        <v>0</v>
      </c>
      <c r="H94" s="3">
        <f>+'&gt;&gt;LP Modelo '!H94/1000</f>
        <v>23034.793000000001</v>
      </c>
      <c r="I94" s="3"/>
      <c r="J94" s="3">
        <f>+'&gt;&gt;LP Modelo '!J94/1000</f>
        <v>23034.793000000001</v>
      </c>
      <c r="K94" s="3">
        <f>+'&gt;&gt;LP Modelo '!K94/1000</f>
        <v>23034.793000000001</v>
      </c>
      <c r="L94" s="3">
        <f>+'&gt;&gt;LP Modelo '!L94/1000</f>
        <v>23034.793000000001</v>
      </c>
      <c r="M94" s="3">
        <f>+'&gt;&gt;LP Modelo '!M94/1000</f>
        <v>23034.793000000001</v>
      </c>
      <c r="N94" s="3">
        <f>+'&gt;&gt;LP Modelo '!N94/1000</f>
        <v>23034.793000000001</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row>
    <row r="95" spans="2:74" ht="12.75" outlineLevel="1" x14ac:dyDescent="0.2">
      <c r="B95" s="35" t="s">
        <v>380</v>
      </c>
      <c r="C95" s="3">
        <f>+'&gt;&gt;LP Modelo '!C95/1000</f>
        <v>-19308.759999999998</v>
      </c>
      <c r="D95" s="3">
        <f>+'&gt;&gt;LP Modelo '!D95/1000</f>
        <v>-19739.259999999998</v>
      </c>
      <c r="E95" s="3">
        <f>+'&gt;&gt;LP Modelo '!E95/1000</f>
        <v>-19739.259999999998</v>
      </c>
      <c r="F95" s="3">
        <f>+'&gt;&gt;LP Modelo '!F95/1000</f>
        <v>-19739.258999999998</v>
      </c>
      <c r="G95" s="17">
        <f>+'&gt;&gt;LP Modelo '!G95/1000</f>
        <v>0</v>
      </c>
      <c r="H95" s="3">
        <f>+'&gt;&gt;LP Modelo '!H95/1000</f>
        <v>-19739.258999999998</v>
      </c>
      <c r="I95" s="3"/>
      <c r="J95" s="3">
        <f>+'&gt;&gt;LP Modelo '!J95/1000</f>
        <v>-19739.258999999998</v>
      </c>
      <c r="K95" s="3">
        <f>+'&gt;&gt;LP Modelo '!K95/1000</f>
        <v>-19739.258999999998</v>
      </c>
      <c r="L95" s="3">
        <f>+'&gt;&gt;LP Modelo '!L95/1000</f>
        <v>-19739.258999999998</v>
      </c>
      <c r="M95" s="3">
        <f>+'&gt;&gt;LP Modelo '!M95/1000</f>
        <v>-19739.258999999998</v>
      </c>
      <c r="N95" s="3">
        <f>+'&gt;&gt;LP Modelo '!N95/1000</f>
        <v>-19739.258999999998</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row>
    <row r="96" spans="2:74" ht="12.75" x14ac:dyDescent="0.2">
      <c r="B96" s="134" t="s">
        <v>33</v>
      </c>
      <c r="C96" s="132">
        <f t="shared" ref="C96:H96" si="34">+SUM(C88:C95)</f>
        <v>5817.0190000000039</v>
      </c>
      <c r="D96" s="132">
        <f t="shared" si="34"/>
        <v>5386.5190000000039</v>
      </c>
      <c r="E96" s="132">
        <f t="shared" si="34"/>
        <v>4909.0060000000049</v>
      </c>
      <c r="F96" s="132">
        <f t="shared" si="34"/>
        <v>4240.5180000000037</v>
      </c>
      <c r="G96" s="133">
        <f t="shared" si="34"/>
        <v>0</v>
      </c>
      <c r="H96" s="132">
        <f t="shared" si="34"/>
        <v>4004.6019500000002</v>
      </c>
      <c r="I96" s="3"/>
      <c r="J96" s="132">
        <f>+SUM(J88:J95)</f>
        <v>4071.9622116000028</v>
      </c>
      <c r="K96" s="132">
        <f>+SUM(K88:K95)</f>
        <v>4468.3233083025043</v>
      </c>
      <c r="L96" s="132">
        <f>+SUM(L88:L95)</f>
        <v>4472.1207295203749</v>
      </c>
      <c r="M96" s="132">
        <f>+SUM(M88:M95)</f>
        <v>4847.8626151029966</v>
      </c>
      <c r="N96" s="132">
        <f>+SUM(N88:N95)</f>
        <v>4802.281151228708</v>
      </c>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row>
    <row r="97" spans="2:74" ht="3.75" customHeight="1" x14ac:dyDescent="0.2">
      <c r="B97" s="8"/>
      <c r="G97" s="16"/>
    </row>
    <row r="98" spans="2:74" ht="12.75" outlineLevel="1" x14ac:dyDescent="0.2">
      <c r="B98" s="34" t="s">
        <v>318</v>
      </c>
      <c r="C98" s="3">
        <f>+'&gt;&gt;LP Modelo '!C98/1000</f>
        <v>195.26900000000001</v>
      </c>
      <c r="D98" s="3">
        <f>+'&gt;&gt;LP Modelo '!D98/1000</f>
        <v>195.26900000000001</v>
      </c>
      <c r="E98" s="3">
        <f>+'&gt;&gt;LP Modelo '!E98/1000</f>
        <v>195.26900000000001</v>
      </c>
      <c r="F98" s="3">
        <f>+'&gt;&gt;LP Modelo '!F98/1000</f>
        <v>261.07400000000001</v>
      </c>
      <c r="G98" s="17">
        <f>+'&gt;&gt;LP Modelo '!G98/1000</f>
        <v>0</v>
      </c>
      <c r="H98" s="3">
        <f>+'&gt;&gt;LP Modelo '!H98/1000</f>
        <v>261.07311000000033</v>
      </c>
      <c r="I98" s="3"/>
      <c r="J98" s="3">
        <f>+'&gt;&gt;LP Modelo '!J98/1000</f>
        <v>261.07311000000033</v>
      </c>
      <c r="K98" s="3">
        <f>+'&gt;&gt;LP Modelo '!K98/1000</f>
        <v>261.07311000000033</v>
      </c>
      <c r="L98" s="3">
        <f>+'&gt;&gt;LP Modelo '!L98/1000</f>
        <v>261.07311000000033</v>
      </c>
      <c r="M98" s="3">
        <f>+'&gt;&gt;LP Modelo '!M98/1000</f>
        <v>261.07311000000033</v>
      </c>
      <c r="N98" s="3">
        <f>+'&gt;&gt;LP Modelo '!N98/1000</f>
        <v>261.07311000000033</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row>
    <row r="99" spans="2:74" ht="12.75" outlineLevel="1" x14ac:dyDescent="0.2">
      <c r="B99" s="34" t="s">
        <v>391</v>
      </c>
      <c r="C99" s="3">
        <f>+'&gt;&gt;LP Modelo '!C99/1000</f>
        <v>-33.777000000000001</v>
      </c>
      <c r="D99" s="3">
        <f>+'&gt;&gt;LP Modelo '!D99/1000</f>
        <v>-42.182000000000002</v>
      </c>
      <c r="E99" s="3">
        <f>+'&gt;&gt;LP Modelo '!E99/1000</f>
        <v>-50.587000000000003</v>
      </c>
      <c r="F99" s="3">
        <f>+'&gt;&gt;LP Modelo '!F99/1000</f>
        <v>-59.54</v>
      </c>
      <c r="G99" s="17">
        <f>+'&gt;&gt;LP Modelo '!G99/1000</f>
        <v>0</v>
      </c>
      <c r="H99" s="3">
        <f>+'&gt;&gt;LP Modelo '!H99/1000</f>
        <v>-66.435380000000009</v>
      </c>
      <c r="I99" s="3"/>
      <c r="J99" s="3">
        <f>+'&gt;&gt;LP Modelo '!J99/1000</f>
        <v>-75.435380000000009</v>
      </c>
      <c r="K99" s="3">
        <f>+'&gt;&gt;LP Modelo '!K99/1000</f>
        <v>-84.435380000000009</v>
      </c>
      <c r="L99" s="3">
        <f>+'&gt;&gt;LP Modelo '!L99/1000</f>
        <v>-93.435380000000009</v>
      </c>
      <c r="M99" s="3">
        <f>+'&gt;&gt;LP Modelo '!M99/1000</f>
        <v>-102.43538000000001</v>
      </c>
      <c r="N99" s="3">
        <f>+'&gt;&gt;LP Modelo '!N99/1000</f>
        <v>-111.43538000000001</v>
      </c>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row>
    <row r="100" spans="2:74" ht="12.75" outlineLevel="1" x14ac:dyDescent="0.2">
      <c r="B100" s="34" t="s">
        <v>379</v>
      </c>
      <c r="C100" s="3">
        <f>+'&gt;&gt;LP Modelo '!C100/1000</f>
        <v>5738.4160000000002</v>
      </c>
      <c r="D100" s="3">
        <f>+'&gt;&gt;LP Modelo '!D100/1000</f>
        <v>5738.4160000000002</v>
      </c>
      <c r="E100" s="3">
        <f>+'&gt;&gt;LP Modelo '!E100/1000</f>
        <v>5738.4160000000002</v>
      </c>
      <c r="F100" s="3">
        <f>+'&gt;&gt;LP Modelo '!F100/1000</f>
        <v>5738.4160000000002</v>
      </c>
      <c r="G100" s="17">
        <f>+'&gt;&gt;LP Modelo '!G100/1000</f>
        <v>0</v>
      </c>
      <c r="H100" s="3">
        <f>+'&gt;&gt;LP Modelo '!H100/1000</f>
        <v>5738.4165199999998</v>
      </c>
      <c r="I100" s="3"/>
      <c r="J100" s="3">
        <f>+'&gt;&gt;LP Modelo '!J100/1000</f>
        <v>5738.4165199999998</v>
      </c>
      <c r="K100" s="3">
        <f>+'&gt;&gt;LP Modelo '!K100/1000</f>
        <v>5738.4165199999998</v>
      </c>
      <c r="L100" s="3">
        <f>+'&gt;&gt;LP Modelo '!L100/1000</f>
        <v>5738.4165199999998</v>
      </c>
      <c r="M100" s="3">
        <f>+'&gt;&gt;LP Modelo '!M100/1000</f>
        <v>5738.4165199999998</v>
      </c>
      <c r="N100" s="3">
        <f>+'&gt;&gt;LP Modelo '!N100/1000</f>
        <v>5738.4165199999998</v>
      </c>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row>
    <row r="101" spans="2:74" ht="12.75" outlineLevel="1" x14ac:dyDescent="0.2">
      <c r="B101" s="34" t="s">
        <v>381</v>
      </c>
      <c r="C101" s="3">
        <f>+'&gt;&gt;LP Modelo '!C101/1000</f>
        <v>-5688.6589999999997</v>
      </c>
      <c r="D101" s="3">
        <f>+'&gt;&gt;LP Modelo '!D101/1000</f>
        <v>-5688.6589999999997</v>
      </c>
      <c r="E101" s="3">
        <f>+'&gt;&gt;LP Modelo '!E101/1000</f>
        <v>-5688.6589999999997</v>
      </c>
      <c r="F101" s="3">
        <f>+'&gt;&gt;LP Modelo '!F101/1000</f>
        <v>-5688.6589999999997</v>
      </c>
      <c r="G101" s="17">
        <f>+'&gt;&gt;LP Modelo '!G101/1000</f>
        <v>0</v>
      </c>
      <c r="H101" s="3">
        <f>+'&gt;&gt;LP Modelo '!H101/1000</f>
        <v>-5688.6592799999999</v>
      </c>
      <c r="I101" s="3"/>
      <c r="J101" s="3">
        <f>+'&gt;&gt;LP Modelo '!J101/1000</f>
        <v>-5688.6592799999999</v>
      </c>
      <c r="K101" s="3">
        <f>+'&gt;&gt;LP Modelo '!K101/1000</f>
        <v>-5688.6592799999999</v>
      </c>
      <c r="L101" s="3">
        <f>+'&gt;&gt;LP Modelo '!L101/1000</f>
        <v>-5688.6592799999999</v>
      </c>
      <c r="M101" s="3">
        <f>+'&gt;&gt;LP Modelo '!M101/1000</f>
        <v>-5688.6592799999999</v>
      </c>
      <c r="N101" s="3">
        <f>+'&gt;&gt;LP Modelo '!N101/1000</f>
        <v>-5688.6592799999999</v>
      </c>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row>
    <row r="102" spans="2:74" ht="12.75" outlineLevel="1" x14ac:dyDescent="0.2">
      <c r="B102" s="34" t="s">
        <v>319</v>
      </c>
      <c r="C102" s="3">
        <f>+'&gt;&gt;LP Modelo '!C102/1000</f>
        <v>150</v>
      </c>
      <c r="D102" s="3">
        <f>+'&gt;&gt;LP Modelo '!D102/1000</f>
        <v>150</v>
      </c>
      <c r="E102" s="3">
        <f>+'&gt;&gt;LP Modelo '!E102/1000</f>
        <v>150</v>
      </c>
      <c r="F102" s="3">
        <f>+'&gt;&gt;LP Modelo '!F102/1000</f>
        <v>150</v>
      </c>
      <c r="G102" s="17">
        <f>+'&gt;&gt;LP Modelo '!G102/1000</f>
        <v>0</v>
      </c>
      <c r="H102" s="3">
        <f>+'&gt;&gt;LP Modelo '!H102/1000</f>
        <v>150</v>
      </c>
      <c r="I102" s="3"/>
      <c r="J102" s="3">
        <f>+'&gt;&gt;LP Modelo '!J102/1000</f>
        <v>150</v>
      </c>
      <c r="K102" s="3">
        <f>+'&gt;&gt;LP Modelo '!K102/1000</f>
        <v>150</v>
      </c>
      <c r="L102" s="3">
        <f>+'&gt;&gt;LP Modelo '!L102/1000</f>
        <v>150</v>
      </c>
      <c r="M102" s="3">
        <f>+'&gt;&gt;LP Modelo '!M102/1000</f>
        <v>150</v>
      </c>
      <c r="N102" s="3">
        <f>+'&gt;&gt;LP Modelo '!N102/1000</f>
        <v>150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row>
    <row r="103" spans="2:74" ht="12.75" outlineLevel="1" x14ac:dyDescent="0.2">
      <c r="B103" s="34" t="s">
        <v>390</v>
      </c>
      <c r="C103" s="3">
        <f>+'&gt;&gt;LP Modelo '!C103/1000</f>
        <v>-65.625</v>
      </c>
      <c r="D103" s="3">
        <f>+'&gt;&gt;LP Modelo '!D103/1000</f>
        <v>-73.125</v>
      </c>
      <c r="E103" s="3">
        <f>+'&gt;&gt;LP Modelo '!E103/1000</f>
        <v>-80.625</v>
      </c>
      <c r="F103" s="3">
        <f>+'&gt;&gt;LP Modelo '!F103/1000</f>
        <v>-88.125</v>
      </c>
      <c r="G103" s="17">
        <f>+'&gt;&gt;LP Modelo '!G103/1000</f>
        <v>0</v>
      </c>
      <c r="H103" s="3">
        <f>+'&gt;&gt;LP Modelo '!H103/1000</f>
        <v>-95.625</v>
      </c>
      <c r="I103" s="3"/>
      <c r="J103" s="3">
        <f>+'&gt;&gt;LP Modelo '!J103/1000</f>
        <v>-103.125</v>
      </c>
      <c r="K103" s="3">
        <f>+'&gt;&gt;LP Modelo '!K103/1000</f>
        <v>-110.625</v>
      </c>
      <c r="L103" s="3">
        <f>+'&gt;&gt;LP Modelo '!L103/1000</f>
        <v>-118.125</v>
      </c>
      <c r="M103" s="3">
        <f>+'&gt;&gt;LP Modelo '!M103/1000</f>
        <v>-125.625</v>
      </c>
      <c r="N103" s="3">
        <f>+'&gt;&gt;LP Modelo '!N103/1000</f>
        <v>-133.125</v>
      </c>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row>
    <row r="104" spans="2:74" ht="12.75" outlineLevel="1" x14ac:dyDescent="0.2">
      <c r="B104" s="34" t="s">
        <v>59</v>
      </c>
      <c r="C104" s="3">
        <f>+'&gt;&gt;LP Modelo '!C104/1000</f>
        <v>7.0750000000000002</v>
      </c>
      <c r="D104" s="3">
        <f>+'&gt;&gt;LP Modelo '!D104/1000</f>
        <v>6.8150000000000004</v>
      </c>
      <c r="E104" s="3">
        <f>+'&gt;&gt;LP Modelo '!E104/1000</f>
        <v>6.8150000000000004</v>
      </c>
      <c r="F104" s="3">
        <f>+'&gt;&gt;LP Modelo '!F104/1000</f>
        <v>8.8149999999999995</v>
      </c>
      <c r="G104" s="17">
        <f>+'&gt;&gt;LP Modelo '!G104/1000</f>
        <v>0</v>
      </c>
      <c r="H104" s="3">
        <f>+'&gt;&gt;LP Modelo '!H104/1000</f>
        <v>8.8149999999999995</v>
      </c>
      <c r="I104" s="3"/>
      <c r="J104" s="3">
        <f>+'&gt;&gt;LP Modelo '!J104/1000</f>
        <v>8.8149999999999995</v>
      </c>
      <c r="K104" s="3">
        <f>+'&gt;&gt;LP Modelo '!K104/1000</f>
        <v>8.8149999999999995</v>
      </c>
      <c r="L104" s="3">
        <f>+'&gt;&gt;LP Modelo '!L104/1000</f>
        <v>8.8149999999999995</v>
      </c>
      <c r="M104" s="3">
        <f>+'&gt;&gt;LP Modelo '!M104/1000</f>
        <v>8.8149999999999995</v>
      </c>
      <c r="N104" s="3">
        <f>+'&gt;&gt;LP Modelo '!N104/1000</f>
        <v>8.8149999999999995</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row>
    <row r="105" spans="2:74" ht="12.75" x14ac:dyDescent="0.2">
      <c r="B105" s="134" t="s">
        <v>34</v>
      </c>
      <c r="C105" s="132">
        <f t="shared" ref="C105:H105" si="35">+SUM(C98:C104)</f>
        <v>302.69900000000069</v>
      </c>
      <c r="D105" s="132">
        <f t="shared" si="35"/>
        <v>286.53400000000096</v>
      </c>
      <c r="E105" s="132">
        <f t="shared" si="35"/>
        <v>270.6290000000003</v>
      </c>
      <c r="F105" s="132">
        <f t="shared" si="35"/>
        <v>321.98100000000017</v>
      </c>
      <c r="G105" s="133">
        <f t="shared" si="35"/>
        <v>0</v>
      </c>
      <c r="H105" s="132">
        <f t="shared" si="35"/>
        <v>307.58497000000028</v>
      </c>
      <c r="I105" s="3"/>
      <c r="J105" s="132">
        <f>+SUM(J98:J104)</f>
        <v>291.08497000000028</v>
      </c>
      <c r="K105" s="132">
        <f>+SUM(K98:K104)</f>
        <v>274.58497000000028</v>
      </c>
      <c r="L105" s="132">
        <f>+SUM(L98:L104)</f>
        <v>258.08497000000028</v>
      </c>
      <c r="M105" s="132">
        <f>+SUM(M98:M104)</f>
        <v>241.58497000000028</v>
      </c>
      <c r="N105" s="132">
        <f>+SUM(N98:N104)</f>
        <v>225.08497000000028</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row>
    <row r="106" spans="2:74" ht="3.75" customHeight="1" x14ac:dyDescent="0.2">
      <c r="B106" s="8"/>
      <c r="G106" s="16"/>
      <c r="J106" s="26"/>
      <c r="K106" s="26"/>
      <c r="L106" s="26"/>
      <c r="M106" s="26"/>
      <c r="N106" s="26"/>
    </row>
    <row r="107" spans="2:74" ht="12.75" x14ac:dyDescent="0.2">
      <c r="B107" s="134" t="s">
        <v>35</v>
      </c>
      <c r="C107" s="132">
        <v>0</v>
      </c>
      <c r="D107" s="132">
        <v>0</v>
      </c>
      <c r="E107" s="132">
        <v>0</v>
      </c>
      <c r="F107" s="132">
        <v>0</v>
      </c>
      <c r="G107" s="133">
        <f>+G130-G86-G96-G105</f>
        <v>-1261.693390708135</v>
      </c>
      <c r="H107" s="132">
        <v>0</v>
      </c>
      <c r="I107" s="3"/>
      <c r="J107" s="132">
        <f>+J130-J86-J96-J105</f>
        <v>680.42811446498627</v>
      </c>
      <c r="K107" s="132">
        <f>+K130-K86-K96-K105</f>
        <v>186.39888227077932</v>
      </c>
      <c r="L107" s="132">
        <f>+L130-L86-L96-L105</f>
        <v>1149.0207257865909</v>
      </c>
      <c r="M107" s="132">
        <f>+M130-M86-M96-M105</f>
        <v>2606.7711185281037</v>
      </c>
      <c r="N107" s="132">
        <f>+N130-N86-N96-N105</f>
        <v>5527.8326541226161</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row>
    <row r="108" spans="2:74" ht="3.75" customHeight="1" x14ac:dyDescent="0.2">
      <c r="B108" s="8"/>
      <c r="G108" s="16"/>
      <c r="J108" s="26"/>
      <c r="K108" s="26"/>
      <c r="L108" s="26"/>
      <c r="M108" s="26"/>
      <c r="N108" s="26"/>
    </row>
    <row r="109" spans="2:74" ht="12.75" x14ac:dyDescent="0.2">
      <c r="B109" s="134" t="s">
        <v>36</v>
      </c>
      <c r="C109" s="132">
        <f t="shared" ref="C109:H109" si="36">+C86+C96+C105+C107</f>
        <v>43924.940999999999</v>
      </c>
      <c r="D109" s="132">
        <f t="shared" si="36"/>
        <v>48507.86</v>
      </c>
      <c r="E109" s="132">
        <f t="shared" si="36"/>
        <v>43775.022000000012</v>
      </c>
      <c r="F109" s="132">
        <f t="shared" si="36"/>
        <v>34862.095999999998</v>
      </c>
      <c r="G109" s="133">
        <f t="shared" si="36"/>
        <v>-1261.693390708135</v>
      </c>
      <c r="H109" s="132">
        <f t="shared" si="36"/>
        <v>41371.934020000008</v>
      </c>
      <c r="I109" s="3"/>
      <c r="J109" s="132">
        <f>+J86+J96+J105+J107</f>
        <v>37277.378642382078</v>
      </c>
      <c r="K109" s="132">
        <f>+K86+K96+K105+K107</f>
        <v>40017.308184596543</v>
      </c>
      <c r="L109" s="132">
        <f>+L86+L96+L105+L107</f>
        <v>44307.58048736419</v>
      </c>
      <c r="M109" s="132">
        <f>+M86+M96+M105+M107</f>
        <v>49975.39703740344</v>
      </c>
      <c r="N109" s="132">
        <f>+N86+N96+N105+N107</f>
        <v>57216.629770967847</v>
      </c>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row>
    <row r="110" spans="2:74" ht="3.75" customHeight="1" x14ac:dyDescent="0.2">
      <c r="B110" s="8"/>
      <c r="G110" s="16"/>
      <c r="J110" s="26"/>
      <c r="K110" s="26"/>
      <c r="L110" s="26"/>
      <c r="M110" s="26"/>
      <c r="N110" s="26"/>
    </row>
    <row r="111" spans="2:74" ht="12.75" outlineLevel="1" x14ac:dyDescent="0.2">
      <c r="B111" s="25" t="s">
        <v>320</v>
      </c>
      <c r="C111" s="3">
        <f>+'&gt;&gt;LP Modelo '!C111/1000</f>
        <v>13014.364</v>
      </c>
      <c r="D111" s="3">
        <f>+'&gt;&gt;LP Modelo '!D111/1000</f>
        <v>14671.821</v>
      </c>
      <c r="E111" s="3">
        <f>+'&gt;&gt;LP Modelo '!E111/1000</f>
        <v>11326.862999999999</v>
      </c>
      <c r="F111" s="3">
        <f>+'&gt;&gt;LP Modelo '!F111/1000</f>
        <v>7555.8860000000004</v>
      </c>
      <c r="G111" s="17">
        <f>+'&gt;&gt;LP Modelo '!G111/1000</f>
        <v>0</v>
      </c>
      <c r="H111" s="3">
        <f>+'&gt;&gt;LP Modelo '!H111/1000</f>
        <v>14479.966910000001</v>
      </c>
      <c r="I111" s="3"/>
      <c r="J111" s="3">
        <f>+'&gt;&gt;LP Modelo '!J111/1000</f>
        <v>12454.960198320048</v>
      </c>
      <c r="K111" s="3">
        <f>+'&gt;&gt;LP Modelo '!K111/1000</f>
        <v>13356.097030405002</v>
      </c>
      <c r="L111" s="3">
        <f>+'&gt;&gt;LP Modelo '!L111/1000</f>
        <v>14501.548153213273</v>
      </c>
      <c r="M111" s="3">
        <f>+'&gt;&gt;LP Modelo '!M111/1000</f>
        <v>15865.986977793997</v>
      </c>
      <c r="N111" s="3">
        <f>+'&gt;&gt;LP Modelo '!N111/1000</f>
        <v>17409.727378395426</v>
      </c>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row>
    <row r="112" spans="2:74" ht="12.75" outlineLevel="1" x14ac:dyDescent="0.2">
      <c r="B112" s="25" t="s">
        <v>137</v>
      </c>
      <c r="C112" s="3">
        <f>+'&gt;&gt;LP Modelo '!C112/1000</f>
        <v>61.463999999999999</v>
      </c>
      <c r="D112" s="3">
        <f>+'&gt;&gt;LP Modelo '!D112/1000</f>
        <v>53.445</v>
      </c>
      <c r="E112" s="3">
        <f>+'&gt;&gt;LP Modelo '!E112/1000</f>
        <v>50.776000000000003</v>
      </c>
      <c r="F112" s="3">
        <f>+'&gt;&gt;LP Modelo '!F112/1000</f>
        <v>55.375999999999998</v>
      </c>
      <c r="G112" s="17">
        <f>+'&gt;&gt;LP Modelo '!G112/1000</f>
        <v>0</v>
      </c>
      <c r="H112" s="3">
        <f>+'&gt;&gt;LP Modelo '!H112/1000</f>
        <v>260.02316999999999</v>
      </c>
      <c r="I112" s="3"/>
      <c r="J112" s="84">
        <f>+'&gt;&gt;LP Modelo '!J112/1000</f>
        <v>311.21805315407414</v>
      </c>
      <c r="K112" s="84">
        <f>+'&gt;&gt;LP Modelo '!K112/1000</f>
        <v>341.41051139374071</v>
      </c>
      <c r="L112" s="84">
        <f>+'&gt;&gt;LP Modelo '!L112/1000</f>
        <v>375.5601328967465</v>
      </c>
      <c r="M112" s="84">
        <f>+'&gt;&gt;LP Modelo '!M112/1000</f>
        <v>414.35409996993309</v>
      </c>
      <c r="N112" s="84">
        <f>+'&gt;&gt;LP Modelo '!N112/1000</f>
        <v>458.61937897611978</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row>
    <row r="113" spans="2:74" ht="12.75" outlineLevel="1" x14ac:dyDescent="0.2">
      <c r="B113" s="25" t="s">
        <v>37</v>
      </c>
      <c r="C113" s="3">
        <f>+'&gt;&gt;LP Modelo '!C113/1000</f>
        <v>400.822</v>
      </c>
      <c r="D113" s="3">
        <f>+'&gt;&gt;LP Modelo '!D113/1000</f>
        <v>1054.549</v>
      </c>
      <c r="E113" s="3">
        <f>+'&gt;&gt;LP Modelo '!E113/1000</f>
        <v>851.81500000000005</v>
      </c>
      <c r="F113" s="3">
        <f>+'&gt;&gt;LP Modelo '!F113/1000</f>
        <v>625</v>
      </c>
      <c r="G113" s="17">
        <f>+'&gt;&gt;LP Modelo '!G113/1000</f>
        <v>0</v>
      </c>
      <c r="H113" s="3">
        <f>+'&gt;&gt;LP Modelo '!H113/1000</f>
        <v>3521.2940800000001</v>
      </c>
      <c r="I113" s="3"/>
      <c r="J113" s="84">
        <f>+'&gt;&gt;LP Modelo '!J113/1000</f>
        <v>1556.0902657703707</v>
      </c>
      <c r="K113" s="84">
        <f>+'&gt;&gt;LP Modelo '!K113/1000</f>
        <v>1707.0525569687036</v>
      </c>
      <c r="L113" s="84">
        <f>+'&gt;&gt;LP Modelo '!L113/1000</f>
        <v>1877.8006644837326</v>
      </c>
      <c r="M113" s="84">
        <f>+'&gt;&gt;LP Modelo '!M113/1000</f>
        <v>2071.7704998496656</v>
      </c>
      <c r="N113" s="84">
        <f>+'&gt;&gt;LP Modelo '!N113/1000</f>
        <v>2293.0968948805989</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row>
    <row r="114" spans="2:74" ht="12.75" hidden="1" outlineLevel="1" x14ac:dyDescent="0.2">
      <c r="B114" s="25" t="s">
        <v>38</v>
      </c>
      <c r="C114" s="3">
        <f>+'&gt;&gt;LP Modelo '!C114/1000</f>
        <v>253.358</v>
      </c>
      <c r="D114" s="3">
        <f>+'&gt;&gt;LP Modelo '!D114/1000</f>
        <v>501.58199999999999</v>
      </c>
      <c r="E114" s="3">
        <f>+'&gt;&gt;LP Modelo '!E114/1000</f>
        <v>227.84100000000001</v>
      </c>
      <c r="F114" s="3">
        <f>+'&gt;&gt;LP Modelo '!F114/1000</f>
        <v>3.585</v>
      </c>
      <c r="G114" s="17">
        <f>+'&gt;&gt;LP Modelo '!G114/1000</f>
        <v>0</v>
      </c>
      <c r="H114" s="3">
        <f>+'&gt;&gt;LP Modelo '!H114/1000</f>
        <v>3.5852900000000001</v>
      </c>
      <c r="I114" s="3"/>
      <c r="J114" s="70"/>
      <c r="K114" s="70"/>
      <c r="L114" s="70"/>
      <c r="M114" s="70"/>
      <c r="N114" s="70"/>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row>
    <row r="115" spans="2:74" ht="12.75" hidden="1" outlineLevel="1" x14ac:dyDescent="0.2">
      <c r="B115" s="25" t="s">
        <v>138</v>
      </c>
      <c r="C115" s="4">
        <f>+'&gt;&gt;LP Modelo '!C115/1000</f>
        <v>2288.7069999999999</v>
      </c>
      <c r="D115" s="4">
        <f>+'&gt;&gt;LP Modelo '!D115/1000</f>
        <v>2511.5700000000002</v>
      </c>
      <c r="E115" s="4">
        <f>+'&gt;&gt;LP Modelo '!E115/1000</f>
        <v>1251.3489999999999</v>
      </c>
      <c r="F115" s="4">
        <f>+'&gt;&gt;LP Modelo '!F115/1000</f>
        <v>1705.45</v>
      </c>
      <c r="G115" s="18">
        <f>+'&gt;&gt;LP Modelo '!G115/1000</f>
        <v>0</v>
      </c>
      <c r="H115" s="3">
        <f>+'&gt;&gt;LP Modelo '!H115/1000</f>
        <v>68.810369999999992</v>
      </c>
      <c r="I115" s="3"/>
      <c r="J115" s="70"/>
      <c r="K115" s="70"/>
      <c r="L115" s="70"/>
      <c r="M115" s="70"/>
      <c r="N115" s="70"/>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row>
    <row r="116" spans="2:74" ht="12.75" x14ac:dyDescent="0.2">
      <c r="B116" s="134" t="s">
        <v>39</v>
      </c>
      <c r="C116" s="132">
        <f t="shared" ref="C116:H116" si="37">+SUM(C111:C115)</f>
        <v>16018.715</v>
      </c>
      <c r="D116" s="132">
        <f t="shared" si="37"/>
        <v>18792.967000000001</v>
      </c>
      <c r="E116" s="132">
        <f t="shared" si="37"/>
        <v>13708.644</v>
      </c>
      <c r="F116" s="132">
        <f t="shared" si="37"/>
        <v>9945.2970000000005</v>
      </c>
      <c r="G116" s="133">
        <f t="shared" si="37"/>
        <v>0</v>
      </c>
      <c r="H116" s="132">
        <f t="shared" si="37"/>
        <v>18333.679820000001</v>
      </c>
      <c r="I116" s="3"/>
      <c r="J116" s="132">
        <f>+SUM(J111:J115)</f>
        <v>14322.268517244493</v>
      </c>
      <c r="K116" s="132">
        <f>+SUM(K111:K115)</f>
        <v>15404.560098767446</v>
      </c>
      <c r="L116" s="132">
        <f>+SUM(L111:L115)</f>
        <v>16754.908950593752</v>
      </c>
      <c r="M116" s="132">
        <f>+SUM(M111:M115)</f>
        <v>18352.111577613596</v>
      </c>
      <c r="N116" s="132">
        <f>+SUM(N111:N115)</f>
        <v>20161.443652252146</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row>
    <row r="117" spans="2:74" ht="3.75" customHeight="1" x14ac:dyDescent="0.2">
      <c r="B117" s="8"/>
      <c r="G117" s="16"/>
      <c r="J117" s="26"/>
      <c r="K117" s="26"/>
      <c r="L117" s="26"/>
      <c r="M117" s="26"/>
      <c r="N117" s="26"/>
    </row>
    <row r="118" spans="2:74" ht="12.75" outlineLevel="1" x14ac:dyDescent="0.2">
      <c r="B118" s="25" t="s">
        <v>186</v>
      </c>
      <c r="C118" s="3"/>
      <c r="D118" s="3"/>
      <c r="E118" s="3"/>
      <c r="F118" s="3"/>
      <c r="G118" s="17"/>
      <c r="H118" s="3"/>
      <c r="I118" s="3"/>
      <c r="J118" s="55">
        <f>+Pasivos!D7</f>
        <v>0</v>
      </c>
      <c r="K118" s="55">
        <f>+Pasivos!E7</f>
        <v>0</v>
      </c>
      <c r="L118" s="55">
        <f>+Pasivos!F7</f>
        <v>0</v>
      </c>
      <c r="M118" s="55">
        <f>+Pasivos!G7</f>
        <v>0</v>
      </c>
      <c r="N118" s="55">
        <f>+Pasivos!H7</f>
        <v>0</v>
      </c>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row>
    <row r="119" spans="2:74" ht="12.75" x14ac:dyDescent="0.2">
      <c r="B119" s="134" t="s">
        <v>40</v>
      </c>
      <c r="C119" s="137">
        <f t="shared" ref="C119:H119" si="38">+SUM(C118:C118)</f>
        <v>0</v>
      </c>
      <c r="D119" s="137">
        <f t="shared" si="38"/>
        <v>0</v>
      </c>
      <c r="E119" s="137">
        <f t="shared" si="38"/>
        <v>0</v>
      </c>
      <c r="F119" s="137">
        <f t="shared" si="38"/>
        <v>0</v>
      </c>
      <c r="G119" s="138">
        <f t="shared" si="38"/>
        <v>0</v>
      </c>
      <c r="H119" s="137">
        <f t="shared" si="38"/>
        <v>0</v>
      </c>
      <c r="I119" s="3"/>
      <c r="J119" s="132">
        <f>+SUM(J118:J118)</f>
        <v>0</v>
      </c>
      <c r="K119" s="132">
        <f>+SUM(K118:K118)</f>
        <v>0</v>
      </c>
      <c r="L119" s="132">
        <f>+SUM(L118:L118)</f>
        <v>0</v>
      </c>
      <c r="M119" s="132">
        <f>+SUM(M118:M118)</f>
        <v>0</v>
      </c>
      <c r="N119" s="132">
        <f>+SUM(N118:N118)</f>
        <v>0</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row>
    <row r="120" spans="2:74" ht="3.75" customHeight="1" x14ac:dyDescent="0.2">
      <c r="B120" s="8"/>
      <c r="G120" s="16"/>
      <c r="J120" s="26"/>
      <c r="K120" s="26"/>
      <c r="L120" s="26"/>
      <c r="M120" s="26"/>
      <c r="N120" s="26"/>
    </row>
    <row r="121" spans="2:74" ht="12.75" x14ac:dyDescent="0.2">
      <c r="B121" s="134" t="s">
        <v>41</v>
      </c>
      <c r="C121" s="132">
        <f t="shared" ref="C121:H121" si="39">+C116+C119</f>
        <v>16018.715</v>
      </c>
      <c r="D121" s="132">
        <f t="shared" si="39"/>
        <v>18792.967000000001</v>
      </c>
      <c r="E121" s="132">
        <f t="shared" si="39"/>
        <v>13708.644</v>
      </c>
      <c r="F121" s="132">
        <f t="shared" si="39"/>
        <v>9945.2970000000005</v>
      </c>
      <c r="G121" s="133">
        <f t="shared" si="39"/>
        <v>0</v>
      </c>
      <c r="H121" s="132">
        <f t="shared" si="39"/>
        <v>18333.679820000001</v>
      </c>
      <c r="I121" s="3"/>
      <c r="J121" s="132">
        <f>+J116+J119</f>
        <v>14322.268517244493</v>
      </c>
      <c r="K121" s="132">
        <f>+K116+K119</f>
        <v>15404.560098767446</v>
      </c>
      <c r="L121" s="132">
        <f>+L116+L119</f>
        <v>16754.908950593752</v>
      </c>
      <c r="M121" s="132">
        <f>+M116+M119</f>
        <v>18352.111577613596</v>
      </c>
      <c r="N121" s="132">
        <f>+N116+N119</f>
        <v>20161.443652252146</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row>
    <row r="122" spans="2:74" ht="3.75" customHeight="1" x14ac:dyDescent="0.2">
      <c r="B122" s="8"/>
      <c r="G122" s="16"/>
      <c r="J122" s="26"/>
      <c r="K122" s="26"/>
      <c r="L122" s="26"/>
      <c r="M122" s="26"/>
      <c r="N122" s="26"/>
    </row>
    <row r="123" spans="2:74" ht="12.75" outlineLevel="1" x14ac:dyDescent="0.2">
      <c r="B123" s="32" t="s">
        <v>42</v>
      </c>
      <c r="C123" s="3">
        <f>+'&gt;&gt;LP Modelo '!C123/1000</f>
        <v>1260</v>
      </c>
      <c r="D123" s="3">
        <f>+'&gt;&gt;LP Modelo '!D123/1000</f>
        <v>1260</v>
      </c>
      <c r="E123" s="3">
        <f>+'&gt;&gt;LP Modelo '!E123/1000</f>
        <v>1260</v>
      </c>
      <c r="F123" s="3">
        <f>+'&gt;&gt;LP Modelo '!F123/1000</f>
        <v>1260</v>
      </c>
      <c r="G123" s="17">
        <f>+'&gt;&gt;LP Modelo '!G123/1000</f>
        <v>0</v>
      </c>
      <c r="H123" s="3">
        <f>+'&gt;&gt;LP Modelo '!H123/1000</f>
        <v>1260</v>
      </c>
      <c r="I123" s="3"/>
      <c r="J123" s="3">
        <f>+'&gt;&gt;LP Modelo '!J123/1000</f>
        <v>1260</v>
      </c>
      <c r="K123" s="3">
        <f>+'&gt;&gt;LP Modelo '!K123/1000</f>
        <v>1260</v>
      </c>
      <c r="L123" s="3">
        <f>+'&gt;&gt;LP Modelo '!L123/1000</f>
        <v>1260</v>
      </c>
      <c r="M123" s="3">
        <f>+'&gt;&gt;LP Modelo '!M123/1000</f>
        <v>1260</v>
      </c>
      <c r="N123" s="3">
        <f>+'&gt;&gt;LP Modelo '!N123/1000</f>
        <v>1260</v>
      </c>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2:74" ht="12.75" outlineLevel="1" x14ac:dyDescent="0.2">
      <c r="B124" s="32" t="s">
        <v>43</v>
      </c>
      <c r="C124" s="3">
        <f>+'&gt;&gt;LP Modelo '!C124/1000</f>
        <v>252</v>
      </c>
      <c r="D124" s="3">
        <f>+'&gt;&gt;LP Modelo '!D124/1000</f>
        <v>252</v>
      </c>
      <c r="E124" s="3">
        <f>+'&gt;&gt;LP Modelo '!E124/1000</f>
        <v>252</v>
      </c>
      <c r="F124" s="3">
        <f>+'&gt;&gt;LP Modelo '!F124/1000</f>
        <v>252</v>
      </c>
      <c r="G124" s="17">
        <f>+'&gt;&gt;LP Modelo '!G124/1000</f>
        <v>0</v>
      </c>
      <c r="H124" s="3">
        <f>+'&gt;&gt;LP Modelo '!H124/1000</f>
        <v>252</v>
      </c>
      <c r="I124" s="3"/>
      <c r="J124" s="3">
        <f>+'&gt;&gt;LP Modelo '!J124/1000</f>
        <v>252</v>
      </c>
      <c r="K124" s="3">
        <f>+'&gt;&gt;LP Modelo '!K124/1000</f>
        <v>252</v>
      </c>
      <c r="L124" s="3">
        <f>+'&gt;&gt;LP Modelo '!L124/1000</f>
        <v>252</v>
      </c>
      <c r="M124" s="3">
        <f>+'&gt;&gt;LP Modelo '!M124/1000</f>
        <v>252</v>
      </c>
      <c r="N124" s="3">
        <f>+'&gt;&gt;LP Modelo '!N124/1000</f>
        <v>252</v>
      </c>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2:74" ht="12.75" outlineLevel="1" x14ac:dyDescent="0.2">
      <c r="B125" s="32" t="s">
        <v>321</v>
      </c>
      <c r="C125" s="3">
        <f>+'&gt;&gt;LP Modelo '!C125/1000</f>
        <v>-12047.353999999999</v>
      </c>
      <c r="D125" s="3">
        <f>+'&gt;&gt;LP Modelo '!D125/1000</f>
        <v>-12591.778</v>
      </c>
      <c r="E125" s="3">
        <f>+'&gt;&gt;LP Modelo '!E125/1000</f>
        <v>-12526.183999999999</v>
      </c>
      <c r="F125" s="3">
        <f>+'&gt;&gt;LP Modelo '!F125/1000</f>
        <v>-12497.21</v>
      </c>
      <c r="G125" s="17">
        <f>+'&gt;&gt;LP Modelo '!G125/1000</f>
        <v>0</v>
      </c>
      <c r="H125" s="3">
        <f>+'&gt;&gt;LP Modelo '!H125/1000</f>
        <v>3974.99811</v>
      </c>
      <c r="I125" s="3"/>
      <c r="J125" s="3">
        <f>+'&gt;&gt;LP Modelo '!J125/1000</f>
        <v>3974.99811</v>
      </c>
      <c r="K125" s="3">
        <f>+'&gt;&gt;LP Modelo '!K125/1000</f>
        <v>3974.99811</v>
      </c>
      <c r="L125" s="3">
        <f>+'&gt;&gt;LP Modelo '!L125/1000</f>
        <v>3974.99811</v>
      </c>
      <c r="M125" s="3">
        <f>+'&gt;&gt;LP Modelo '!M125/1000</f>
        <v>3974.99811</v>
      </c>
      <c r="N125" s="3">
        <f>+'&gt;&gt;LP Modelo '!N125/1000</f>
        <v>3974.99811</v>
      </c>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row>
    <row r="126" spans="2:74" ht="12.75" outlineLevel="1" x14ac:dyDescent="0.2">
      <c r="B126" s="32" t="s">
        <v>44</v>
      </c>
      <c r="C126" s="3">
        <f>+'&gt;&gt;LP Modelo '!C126/1000</f>
        <v>38004.847999999991</v>
      </c>
      <c r="D126" s="3">
        <f>+'&gt;&gt;LP Modelo '!D126/1000</f>
        <v>38141.579999999994</v>
      </c>
      <c r="E126" s="3">
        <f>+'&gt;&gt;LP Modelo '!E126/1000</f>
        <v>40417.427999999993</v>
      </c>
      <c r="F126" s="3">
        <f>+'&gt;&gt;LP Modelo '!F126/1000</f>
        <v>37886.93</v>
      </c>
      <c r="G126" s="17">
        <f>+'&gt;&gt;LP Modelo '!G126/1000</f>
        <v>0</v>
      </c>
      <c r="H126" s="3">
        <f>+'&gt;&gt;LP Modelo '!H126/1000</f>
        <v>19417.307860000001</v>
      </c>
      <c r="I126" s="3"/>
      <c r="J126" s="3">
        <f>+'&gt;&gt;LP Modelo '!J126/1000</f>
        <v>17551.256049999985</v>
      </c>
      <c r="K126" s="3">
        <f>+'&gt;&gt;LP Modelo '!K126/1000</f>
        <v>17468.112015137576</v>
      </c>
      <c r="L126" s="3">
        <f>+'&gt;&gt;LP Modelo '!L126/1000</f>
        <v>19125.749975829098</v>
      </c>
      <c r="M126" s="3">
        <f>+'&gt;&gt;LP Modelo '!M126/1000</f>
        <v>22065.673426770438</v>
      </c>
      <c r="N126" s="3">
        <f>+'&gt;&gt;LP Modelo '!N126/1000</f>
        <v>26136.287349789844</v>
      </c>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row>
    <row r="127" spans="2:74" ht="12.75" outlineLevel="1" x14ac:dyDescent="0.2">
      <c r="B127" s="32" t="s">
        <v>45</v>
      </c>
      <c r="C127" s="4">
        <f>+'&gt;&gt;LP Modelo '!C127/1000</f>
        <v>436.73200000000747</v>
      </c>
      <c r="D127" s="4">
        <f>+'&gt;&gt;LP Modelo '!D127/1000</f>
        <v>2653.0910000000076</v>
      </c>
      <c r="E127" s="4">
        <f>+'&gt;&gt;LP Modelo '!E127/1000</f>
        <v>663.1340000000074</v>
      </c>
      <c r="F127" s="4">
        <f>+'&gt;&gt;LP Modelo '!F127/1000</f>
        <v>-1984.9209999999925</v>
      </c>
      <c r="G127" s="18">
        <f>+'&gt;&gt;LP Modelo '!G127/1000</f>
        <v>-1261.693390708135</v>
      </c>
      <c r="H127" s="4">
        <f>+'&gt;&gt;LP Modelo '!H127/1000</f>
        <v>-1866.0518100000124</v>
      </c>
      <c r="I127" s="3"/>
      <c r="J127" s="3">
        <f>+'&gt;&gt;LP Modelo '!J127/1000</f>
        <v>-83.144034862408418</v>
      </c>
      <c r="K127" s="3">
        <f>+'&gt;&gt;LP Modelo '!K127/1000</f>
        <v>1657.6379606915232</v>
      </c>
      <c r="L127" s="3">
        <f>+'&gt;&gt;LP Modelo '!L127/1000</f>
        <v>2939.9234509413382</v>
      </c>
      <c r="M127" s="3">
        <f>+'&gt;&gt;LP Modelo '!M127/1000</f>
        <v>4070.6139230194049</v>
      </c>
      <c r="N127" s="3">
        <f>+'&gt;&gt;LP Modelo '!N127/1000</f>
        <v>5431.900658925857</v>
      </c>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row>
    <row r="128" spans="2:74" ht="12.75" x14ac:dyDescent="0.2">
      <c r="B128" s="134" t="s">
        <v>46</v>
      </c>
      <c r="C128" s="132">
        <f t="shared" ref="C128:H128" si="40">+SUM(C123:C127)</f>
        <v>27906.225999999999</v>
      </c>
      <c r="D128" s="132">
        <f t="shared" si="40"/>
        <v>29714.893000000004</v>
      </c>
      <c r="E128" s="132">
        <f t="shared" si="40"/>
        <v>30066.378000000001</v>
      </c>
      <c r="F128" s="132">
        <f t="shared" si="40"/>
        <v>24916.79900000001</v>
      </c>
      <c r="G128" s="133">
        <f t="shared" si="40"/>
        <v>-1261.693390708135</v>
      </c>
      <c r="H128" s="132">
        <f t="shared" si="40"/>
        <v>23038.254159999989</v>
      </c>
      <c r="I128" s="3"/>
      <c r="J128" s="132">
        <f>+SUM(J123:J127)</f>
        <v>22955.110125137577</v>
      </c>
      <c r="K128" s="132">
        <f>+SUM(K123:K127)</f>
        <v>24612.748085829098</v>
      </c>
      <c r="L128" s="132">
        <f>+SUM(L123:L127)</f>
        <v>27552.671536770438</v>
      </c>
      <c r="M128" s="132">
        <f>+SUM(M123:M127)</f>
        <v>31623.285459789844</v>
      </c>
      <c r="N128" s="132">
        <f>+SUM(N123:N127)</f>
        <v>37055.186118715705</v>
      </c>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1:74" ht="3.75" customHeight="1" x14ac:dyDescent="0.2">
      <c r="B129" s="8"/>
      <c r="G129" s="16"/>
      <c r="J129" s="26"/>
      <c r="K129" s="26"/>
      <c r="L129" s="26"/>
      <c r="M129" s="26"/>
      <c r="N129" s="26"/>
    </row>
    <row r="130" spans="1:74" ht="12.75" x14ac:dyDescent="0.2">
      <c r="B130" s="134" t="s">
        <v>47</v>
      </c>
      <c r="C130" s="132">
        <f t="shared" ref="C130:H130" si="41">+C121+C128</f>
        <v>43924.940999999999</v>
      </c>
      <c r="D130" s="132">
        <f t="shared" si="41"/>
        <v>48507.86</v>
      </c>
      <c r="E130" s="132">
        <f t="shared" si="41"/>
        <v>43775.021999999997</v>
      </c>
      <c r="F130" s="132">
        <f t="shared" si="41"/>
        <v>34862.096000000012</v>
      </c>
      <c r="G130" s="133">
        <f t="shared" si="41"/>
        <v>-1261.693390708135</v>
      </c>
      <c r="H130" s="132">
        <f t="shared" si="41"/>
        <v>41371.933979999987</v>
      </c>
      <c r="I130" s="3"/>
      <c r="J130" s="132">
        <f>+J121+J128</f>
        <v>37277.378642382071</v>
      </c>
      <c r="K130" s="132">
        <f>+K121+K128</f>
        <v>40017.308184596543</v>
      </c>
      <c r="L130" s="132">
        <f>+L121+L128</f>
        <v>44307.58048736419</v>
      </c>
      <c r="M130" s="132">
        <f>+M121+M128</f>
        <v>49975.39703740344</v>
      </c>
      <c r="N130" s="132">
        <f>+N121+N128</f>
        <v>57216.629770967847</v>
      </c>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row>
    <row r="131" spans="1:74" ht="12.75" x14ac:dyDescent="0.2">
      <c r="B131" s="26"/>
      <c r="C131" s="3"/>
      <c r="D131" s="3"/>
      <c r="E131" s="3"/>
      <c r="F131" s="3"/>
      <c r="G131" s="252"/>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row>
    <row r="132" spans="1:74" ht="12.75" x14ac:dyDescent="0.2">
      <c r="B132" s="26"/>
      <c r="C132" s="3">
        <f t="shared" ref="C132:H132" si="42">+C109-C130</f>
        <v>0</v>
      </c>
      <c r="D132" s="3">
        <f t="shared" si="42"/>
        <v>0</v>
      </c>
      <c r="E132" s="3">
        <f t="shared" si="42"/>
        <v>0</v>
      </c>
      <c r="F132" s="3">
        <f t="shared" si="42"/>
        <v>0</v>
      </c>
      <c r="G132" s="3">
        <f t="shared" si="42"/>
        <v>0</v>
      </c>
      <c r="H132" s="3">
        <f t="shared" si="42"/>
        <v>4.0000020817387849E-5</v>
      </c>
      <c r="I132" s="3"/>
      <c r="J132" s="3">
        <f>+J109-J130</f>
        <v>0</v>
      </c>
      <c r="K132" s="3">
        <f>+K109-K130</f>
        <v>0</v>
      </c>
      <c r="L132" s="3">
        <f>+L109-L130</f>
        <v>0</v>
      </c>
      <c r="M132" s="3">
        <f>+M109-M130</f>
        <v>0</v>
      </c>
      <c r="N132" s="3">
        <f>+N109-N130</f>
        <v>0</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row>
    <row r="133" spans="1:74" ht="12.75" x14ac:dyDescent="0.2">
      <c r="B133" s="26"/>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row>
    <row r="134" spans="1:74" ht="12.75" x14ac:dyDescent="0.2">
      <c r="B134" s="26"/>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row>
    <row r="135" spans="1:74" ht="12.75" x14ac:dyDescent="0.2">
      <c r="A135" s="1" t="s">
        <v>132</v>
      </c>
      <c r="B135" s="82" t="s">
        <v>140</v>
      </c>
      <c r="C135" s="415"/>
      <c r="D135" s="415"/>
      <c r="E135" s="415"/>
      <c r="F135" s="415"/>
      <c r="G135" s="415"/>
      <c r="H135" s="415"/>
      <c r="J135" s="415" t="s">
        <v>60</v>
      </c>
      <c r="K135" s="415"/>
      <c r="L135" s="415"/>
      <c r="M135" s="415"/>
      <c r="N135" s="415"/>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row>
    <row r="136" spans="1:74" ht="27" customHeight="1" x14ac:dyDescent="0.2">
      <c r="B136" s="11" t="s">
        <v>5</v>
      </c>
      <c r="C136" s="11">
        <f t="shared" ref="C136:H136" si="43">+C6</f>
        <v>2010</v>
      </c>
      <c r="D136" s="11">
        <f t="shared" si="43"/>
        <v>2011</v>
      </c>
      <c r="E136" s="11">
        <f t="shared" si="43"/>
        <v>2012</v>
      </c>
      <c r="F136" s="11">
        <f t="shared" si="43"/>
        <v>2013</v>
      </c>
      <c r="G136" s="15" t="str">
        <f t="shared" si="43"/>
        <v>2014
anualizado</v>
      </c>
      <c r="H136" s="81" t="str">
        <f t="shared" si="43"/>
        <v xml:space="preserve">2014 Sep Real </v>
      </c>
      <c r="I136" s="81" t="s">
        <v>61</v>
      </c>
      <c r="J136" s="11">
        <f>+J77</f>
        <v>2015</v>
      </c>
      <c r="K136" s="11">
        <f>+K77</f>
        <v>2016</v>
      </c>
      <c r="L136" s="11">
        <f>+L77</f>
        <v>2017</v>
      </c>
      <c r="M136" s="11">
        <f>+M77</f>
        <v>2018</v>
      </c>
      <c r="N136" s="11">
        <f>+N77</f>
        <v>2019</v>
      </c>
      <c r="O136" s="81" t="s">
        <v>62</v>
      </c>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row>
    <row r="137" spans="1:74" ht="3.75" customHeight="1" x14ac:dyDescent="0.2">
      <c r="B137" s="8"/>
      <c r="G137" s="16"/>
    </row>
    <row r="138" spans="1:74" ht="12.75" x14ac:dyDescent="0.2">
      <c r="B138" s="25" t="s">
        <v>55</v>
      </c>
      <c r="C138" s="3">
        <f>+C79/(C$13/360)</f>
        <v>11.390408008137884</v>
      </c>
      <c r="D138" s="3">
        <f>+D79/(D$13/360)</f>
        <v>2.2004827161706562</v>
      </c>
      <c r="E138" s="3">
        <f>+E79/(E$13/360)</f>
        <v>16.203856422130958</v>
      </c>
      <c r="F138" s="3">
        <f>+F79/(F$13/360)</f>
        <v>13.374448696250983</v>
      </c>
      <c r="G138" s="17"/>
      <c r="H138" s="84">
        <f>+H79/(H$13/240)</f>
        <v>14.040347654732155</v>
      </c>
      <c r="I138" s="3"/>
      <c r="J138" s="3">
        <v>10</v>
      </c>
      <c r="K138" s="3">
        <v>10</v>
      </c>
      <c r="L138" s="3">
        <f t="shared" ref="L138:N141" si="44">+K138</f>
        <v>10</v>
      </c>
      <c r="M138" s="3">
        <f t="shared" si="44"/>
        <v>10</v>
      </c>
      <c r="N138" s="3">
        <f t="shared" si="44"/>
        <v>10</v>
      </c>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row>
    <row r="139" spans="1:74" ht="12.75" x14ac:dyDescent="0.2">
      <c r="B139" s="31" t="s">
        <v>63</v>
      </c>
      <c r="C139" s="3">
        <f t="shared" ref="C139:F140" si="45">+C81/(C$13/360)</f>
        <v>61.270944487575449</v>
      </c>
      <c r="D139" s="3">
        <f t="shared" si="45"/>
        <v>52.823294292514554</v>
      </c>
      <c r="E139" s="3">
        <f t="shared" si="45"/>
        <v>28.681697230069744</v>
      </c>
      <c r="F139" s="3">
        <f t="shared" si="45"/>
        <v>46.765874518844704</v>
      </c>
      <c r="G139" s="17"/>
      <c r="H139" s="84">
        <f>+H81/(H$13/240)</f>
        <v>48.125459250376949</v>
      </c>
      <c r="I139" s="3"/>
      <c r="J139" s="3">
        <v>45</v>
      </c>
      <c r="K139" s="3">
        <f t="shared" ref="K139:N143" si="46">+J139</f>
        <v>45</v>
      </c>
      <c r="L139" s="3">
        <f t="shared" si="44"/>
        <v>45</v>
      </c>
      <c r="M139" s="3">
        <f t="shared" si="44"/>
        <v>45</v>
      </c>
      <c r="N139" s="3">
        <f t="shared" si="44"/>
        <v>45</v>
      </c>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row>
    <row r="140" spans="1:74" ht="12.75" x14ac:dyDescent="0.2">
      <c r="B140" s="25" t="s">
        <v>56</v>
      </c>
      <c r="C140" s="3">
        <f t="shared" si="45"/>
        <v>2.83412830865332</v>
      </c>
      <c r="D140" s="3">
        <f t="shared" si="45"/>
        <v>1.0692997889073603</v>
      </c>
      <c r="E140" s="3">
        <f t="shared" si="45"/>
        <v>1.195002118396818</v>
      </c>
      <c r="F140" s="3">
        <f t="shared" si="45"/>
        <v>1.327627906362375</v>
      </c>
      <c r="G140" s="17"/>
      <c r="H140" s="84">
        <f>+H82/(H$13/240)</f>
        <v>1.0702151761335028</v>
      </c>
      <c r="I140" s="3"/>
      <c r="J140" s="3">
        <v>2</v>
      </c>
      <c r="K140" s="3">
        <f t="shared" si="46"/>
        <v>2</v>
      </c>
      <c r="L140" s="3">
        <f t="shared" si="44"/>
        <v>2</v>
      </c>
      <c r="M140" s="3">
        <f t="shared" si="44"/>
        <v>2</v>
      </c>
      <c r="N140" s="3">
        <f t="shared" si="44"/>
        <v>2</v>
      </c>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row>
    <row r="141" spans="1:74" ht="12.75" x14ac:dyDescent="0.2">
      <c r="B141" s="31" t="s">
        <v>53</v>
      </c>
      <c r="C141" s="3">
        <f>+C83/(C$20/360)</f>
        <v>45.003311767252136</v>
      </c>
      <c r="D141" s="3">
        <f>+D83/(D$20/360)</f>
        <v>59.342909242818315</v>
      </c>
      <c r="E141" s="3">
        <f>+E83/(E$20/360)</f>
        <v>71.95495690644556</v>
      </c>
      <c r="F141" s="3">
        <f>+F83/(F$20/360)</f>
        <v>37.620258326057176</v>
      </c>
      <c r="G141" s="17"/>
      <c r="H141" s="84">
        <f>+H83/(H$20/240)</f>
        <v>38.115114535362373</v>
      </c>
      <c r="I141" s="3"/>
      <c r="J141" s="3">
        <v>40</v>
      </c>
      <c r="K141" s="3">
        <f t="shared" si="46"/>
        <v>40</v>
      </c>
      <c r="L141" s="3">
        <f>+K141</f>
        <v>40</v>
      </c>
      <c r="M141" s="3">
        <f t="shared" si="44"/>
        <v>40</v>
      </c>
      <c r="N141" s="3">
        <f t="shared" si="44"/>
        <v>40</v>
      </c>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row>
    <row r="142" spans="1:74" ht="12.75" x14ac:dyDescent="0.2">
      <c r="B142" s="31" t="s">
        <v>57</v>
      </c>
      <c r="C142" s="3">
        <f t="shared" ref="C142:F143" si="47">+C84/(C$13/360)</f>
        <v>16.802051338581876</v>
      </c>
      <c r="D142" s="3">
        <f t="shared" si="47"/>
        <v>10.517375046542577</v>
      </c>
      <c r="E142" s="3">
        <f t="shared" si="47"/>
        <v>11.484598117906108</v>
      </c>
      <c r="F142" s="3">
        <f t="shared" si="47"/>
        <v>8.7479071257286591</v>
      </c>
      <c r="G142" s="17"/>
      <c r="H142" s="84">
        <f>+H84/(H$13/240)</f>
        <v>11.068454780734179</v>
      </c>
      <c r="I142" s="3"/>
      <c r="J142" s="3">
        <v>10</v>
      </c>
      <c r="K142" s="3">
        <f t="shared" si="46"/>
        <v>10</v>
      </c>
      <c r="L142" s="3">
        <f t="shared" si="46"/>
        <v>10</v>
      </c>
      <c r="M142" s="3">
        <f t="shared" si="46"/>
        <v>10</v>
      </c>
      <c r="N142" s="3">
        <f t="shared" si="46"/>
        <v>10</v>
      </c>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row>
    <row r="143" spans="1:74" ht="12.75" x14ac:dyDescent="0.2">
      <c r="B143" s="31" t="s">
        <v>54</v>
      </c>
      <c r="C143" s="3">
        <f t="shared" si="47"/>
        <v>0.59913887100388752</v>
      </c>
      <c r="D143" s="3">
        <f t="shared" si="47"/>
        <v>0.73026000805309721</v>
      </c>
      <c r="E143" s="3">
        <f t="shared" si="47"/>
        <v>0.99005026424231279</v>
      </c>
      <c r="F143" s="3">
        <f t="shared" si="47"/>
        <v>1.1827389699196218</v>
      </c>
      <c r="G143" s="17"/>
      <c r="H143" s="84">
        <f>+H85/(H$13/240)</f>
        <v>2.5889445500120636</v>
      </c>
      <c r="I143" s="3"/>
      <c r="J143" s="3">
        <v>1</v>
      </c>
      <c r="K143" s="3">
        <f t="shared" si="46"/>
        <v>1</v>
      </c>
      <c r="L143" s="3">
        <f t="shared" si="46"/>
        <v>1</v>
      </c>
      <c r="M143" s="3">
        <f t="shared" si="46"/>
        <v>1</v>
      </c>
      <c r="N143" s="3">
        <f t="shared" si="46"/>
        <v>1</v>
      </c>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row>
    <row r="144" spans="1:74" ht="3.75" customHeight="1" x14ac:dyDescent="0.2">
      <c r="B144" s="139"/>
      <c r="C144" s="140"/>
      <c r="D144" s="140"/>
      <c r="E144" s="140"/>
      <c r="F144" s="140"/>
      <c r="G144" s="141"/>
      <c r="H144" s="140"/>
      <c r="J144" s="139"/>
      <c r="K144" s="139"/>
      <c r="L144" s="139"/>
      <c r="M144" s="139"/>
      <c r="N144" s="139"/>
    </row>
    <row r="145" spans="1:74" ht="12.75" x14ac:dyDescent="0.2">
      <c r="B145" s="25" t="str">
        <f>+B111</f>
        <v>Proveedores</v>
      </c>
      <c r="C145" s="3">
        <f t="shared" ref="C145:F146" si="48">+C111/(C$20/360)</f>
        <v>52.762717065185569</v>
      </c>
      <c r="D145" s="3">
        <f t="shared" si="48"/>
        <v>47.576374644885618</v>
      </c>
      <c r="E145" s="3">
        <f t="shared" si="48"/>
        <v>40.908044531450898</v>
      </c>
      <c r="F145" s="3">
        <f t="shared" si="48"/>
        <v>29.48930327185014</v>
      </c>
      <c r="G145" s="17"/>
      <c r="H145" s="84">
        <f>+H111/(H$20/240)</f>
        <v>48.112545688924534</v>
      </c>
      <c r="I145" s="3"/>
      <c r="J145" s="3">
        <v>45</v>
      </c>
      <c r="K145" s="3">
        <f>+J145</f>
        <v>45</v>
      </c>
      <c r="L145" s="3">
        <f t="shared" ref="L145:N147" si="49">+K145</f>
        <v>45</v>
      </c>
      <c r="M145" s="3">
        <f t="shared" si="49"/>
        <v>45</v>
      </c>
      <c r="N145" s="3">
        <f t="shared" si="49"/>
        <v>45</v>
      </c>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row>
    <row r="146" spans="1:74" ht="12.75" x14ac:dyDescent="0.2">
      <c r="B146" s="25" t="str">
        <f t="shared" ref="B146:B147" si="50">+B112</f>
        <v>Acreedores Diversos</v>
      </c>
      <c r="C146" s="3">
        <f t="shared" si="48"/>
        <v>0.24918679404499258</v>
      </c>
      <c r="D146" s="3">
        <f t="shared" si="48"/>
        <v>0.17330632256867856</v>
      </c>
      <c r="E146" s="3">
        <f t="shared" si="48"/>
        <v>0.18338236006994618</v>
      </c>
      <c r="F146" s="3">
        <f t="shared" si="48"/>
        <v>0.21612285547743482</v>
      </c>
      <c r="G146" s="17"/>
      <c r="H146" s="84">
        <f>+H112/(H$20/240)</f>
        <v>0.86397826214396989</v>
      </c>
      <c r="I146" s="3"/>
      <c r="J146" s="3">
        <v>1</v>
      </c>
      <c r="K146" s="3">
        <f>+J146</f>
        <v>1</v>
      </c>
      <c r="L146" s="3">
        <f t="shared" si="49"/>
        <v>1</v>
      </c>
      <c r="M146" s="3">
        <f t="shared" si="49"/>
        <v>1</v>
      </c>
      <c r="N146" s="3">
        <f t="shared" si="49"/>
        <v>1</v>
      </c>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row>
    <row r="147" spans="1:74" ht="12.75" x14ac:dyDescent="0.2">
      <c r="B147" s="25" t="str">
        <f t="shared" si="50"/>
        <v>Impuestos por Pagar</v>
      </c>
      <c r="C147" s="84">
        <f>+C113/(C$13/240)</f>
        <v>0.92954714661154847</v>
      </c>
      <c r="D147" s="84">
        <f t="shared" ref="D147:F147" si="51">+D113/(D$13/240)</f>
        <v>1.9296490632518235</v>
      </c>
      <c r="E147" s="84">
        <f t="shared" si="51"/>
        <v>1.7808488373408797</v>
      </c>
      <c r="F147" s="84">
        <f t="shared" si="51"/>
        <v>1.4399272571788508</v>
      </c>
      <c r="G147" s="17"/>
      <c r="H147" s="84">
        <f>+H113/(H$13/240)</f>
        <v>10.58164699467914</v>
      </c>
      <c r="I147" s="3"/>
      <c r="J147" s="3">
        <v>5</v>
      </c>
      <c r="K147" s="3">
        <f>+J147</f>
        <v>5</v>
      </c>
      <c r="L147" s="3">
        <f t="shared" si="49"/>
        <v>5</v>
      </c>
      <c r="M147" s="3">
        <f t="shared" si="49"/>
        <v>5</v>
      </c>
      <c r="N147" s="3">
        <f t="shared" si="49"/>
        <v>5</v>
      </c>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row>
    <row r="148" spans="1:74" ht="3.75" customHeight="1" x14ac:dyDescent="0.2">
      <c r="B148" s="8"/>
      <c r="G148" s="16"/>
    </row>
    <row r="149" spans="1:74" ht="12.75" x14ac:dyDescent="0.2">
      <c r="B149" s="38" t="s">
        <v>58</v>
      </c>
      <c r="C149" s="5">
        <f t="shared" ref="C149:H149" si="52">+C86-C79-C116</f>
        <v>18512.134999999998</v>
      </c>
      <c r="D149" s="5">
        <f t="shared" si="52"/>
        <v>23240.134000000002</v>
      </c>
      <c r="E149" s="5">
        <f t="shared" si="52"/>
        <v>19719.661</v>
      </c>
      <c r="F149" s="5">
        <f t="shared" si="52"/>
        <v>16484.182999999997</v>
      </c>
      <c r="G149" s="45">
        <f t="shared" si="52"/>
        <v>0</v>
      </c>
      <c r="H149" s="5">
        <f t="shared" si="52"/>
        <v>14053.808499999999</v>
      </c>
      <c r="I149" s="3"/>
      <c r="J149" s="5">
        <f>+J86-J79-J116</f>
        <v>14799.454297531849</v>
      </c>
      <c r="K149" s="5">
        <f>+K86-K79-K116</f>
        <v>16269.335811318406</v>
      </c>
      <c r="L149" s="5">
        <f>+L86-L79-L116</f>
        <v>17917.843782496006</v>
      </c>
      <c r="M149" s="5">
        <f>+M86-M79-M116</f>
        <v>19783.52575645941</v>
      </c>
      <c r="N149" s="5">
        <f>+N86-N79-N116</f>
        <v>21913.793553603176</v>
      </c>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row>
    <row r="150" spans="1:74" ht="12.75"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row>
    <row r="151" spans="1:74" ht="12.75"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row>
    <row r="152" spans="1:74" ht="12.75" x14ac:dyDescent="0.2">
      <c r="A152" s="1" t="s">
        <v>132</v>
      </c>
      <c r="B152" s="82" t="s">
        <v>139</v>
      </c>
      <c r="C152" s="415"/>
      <c r="D152" s="415"/>
      <c r="E152" s="415"/>
      <c r="F152" s="415"/>
      <c r="G152" s="415"/>
      <c r="H152" s="415"/>
      <c r="I152" s="3"/>
      <c r="J152" s="415" t="s">
        <v>60</v>
      </c>
      <c r="K152" s="415"/>
      <c r="L152" s="415"/>
      <c r="M152" s="415"/>
      <c r="N152" s="415"/>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row>
    <row r="153" spans="1:74" ht="22.5" customHeight="1" x14ac:dyDescent="0.2">
      <c r="B153" s="11" t="s">
        <v>5</v>
      </c>
      <c r="C153" s="11">
        <f t="shared" ref="C153:H153" si="53">+C6</f>
        <v>2010</v>
      </c>
      <c r="D153" s="11">
        <f t="shared" si="53"/>
        <v>2011</v>
      </c>
      <c r="E153" s="11">
        <f t="shared" si="53"/>
        <v>2012</v>
      </c>
      <c r="F153" s="11">
        <f t="shared" si="53"/>
        <v>2013</v>
      </c>
      <c r="G153" s="15" t="str">
        <f t="shared" si="53"/>
        <v>2014
anualizado</v>
      </c>
      <c r="H153" s="81" t="str">
        <f t="shared" si="53"/>
        <v xml:space="preserve">2014 Sep Real </v>
      </c>
      <c r="I153" s="81" t="s">
        <v>61</v>
      </c>
      <c r="J153" s="11">
        <f>+J77</f>
        <v>2015</v>
      </c>
      <c r="K153" s="11">
        <f>+K77</f>
        <v>2016</v>
      </c>
      <c r="L153" s="11">
        <f>+L77</f>
        <v>2017</v>
      </c>
      <c r="M153" s="11">
        <f>+M77</f>
        <v>2018</v>
      </c>
      <c r="N153" s="11">
        <f>+N77</f>
        <v>2019</v>
      </c>
      <c r="O153" s="81" t="s">
        <v>62</v>
      </c>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row>
    <row r="154" spans="1:74" ht="3.75" customHeight="1" x14ac:dyDescent="0.2">
      <c r="B154" s="8"/>
      <c r="G154" s="16"/>
    </row>
    <row r="155" spans="1:74" ht="12.75" x14ac:dyDescent="0.2">
      <c r="B155" s="1" t="s">
        <v>64</v>
      </c>
      <c r="C155" s="3">
        <f>+C72</f>
        <v>436.73199999999753</v>
      </c>
      <c r="D155" s="3">
        <f>+D72</f>
        <v>2653.0910000000113</v>
      </c>
      <c r="E155" s="3">
        <f>+E72</f>
        <v>663.13399999999331</v>
      </c>
      <c r="F155" s="3">
        <f>+F72</f>
        <v>-1984.9209999999994</v>
      </c>
      <c r="G155" s="17"/>
      <c r="H155" s="3">
        <f>+H72</f>
        <v>-1866.0518100000195</v>
      </c>
      <c r="I155" s="3"/>
      <c r="J155" s="3">
        <f>+J72</f>
        <v>-83.144034862403714</v>
      </c>
      <c r="K155" s="3">
        <f>+K72</f>
        <v>1657.6379606915239</v>
      </c>
      <c r="L155" s="3">
        <f>+L72</f>
        <v>2939.9234509413377</v>
      </c>
      <c r="M155" s="3">
        <f>+M72</f>
        <v>4070.613923019408</v>
      </c>
      <c r="N155" s="3">
        <f>+N72</f>
        <v>5431.9006589258652</v>
      </c>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row>
    <row r="156" spans="1:74" ht="12.75" x14ac:dyDescent="0.2">
      <c r="B156" s="2" t="s">
        <v>65</v>
      </c>
      <c r="C156" s="3"/>
      <c r="D156" s="3">
        <f>+D51*0</f>
        <v>0</v>
      </c>
      <c r="E156" s="3">
        <f>+E51*0</f>
        <v>0</v>
      </c>
      <c r="F156" s="3">
        <f>+F51*0</f>
        <v>0</v>
      </c>
      <c r="G156" s="17"/>
      <c r="H156" s="3">
        <f>+H51*0</f>
        <v>0</v>
      </c>
      <c r="I156" s="3"/>
      <c r="J156" s="3">
        <f>+J51</f>
        <v>121.67394239999986</v>
      </c>
      <c r="K156" s="3">
        <f t="shared" ref="K156:N156" si="54">+K51</f>
        <v>237.95377892249977</v>
      </c>
      <c r="L156" s="3">
        <f t="shared" si="54"/>
        <v>211.69066011337492</v>
      </c>
      <c r="M156" s="3">
        <f t="shared" si="54"/>
        <v>322.37729218644381</v>
      </c>
      <c r="N156" s="3">
        <f t="shared" si="54"/>
        <v>280.06451079555103</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row>
    <row r="157" spans="1:74" ht="12.75" x14ac:dyDescent="0.2">
      <c r="B157" s="2" t="s">
        <v>389</v>
      </c>
      <c r="C157" s="4"/>
      <c r="D157" s="4">
        <f>+D52</f>
        <v>15.904999999999999</v>
      </c>
      <c r="E157" s="4">
        <f t="shared" ref="E157:F157" si="55">+E52</f>
        <v>15.904999999999999</v>
      </c>
      <c r="F157" s="4">
        <f t="shared" si="55"/>
        <v>16.452999999999999</v>
      </c>
      <c r="G157" s="18"/>
      <c r="H157" s="4">
        <f>+H52</f>
        <v>14.395380000000005</v>
      </c>
      <c r="I157" s="3"/>
      <c r="J157" s="70">
        <f>-J99+H99-J103+H103</f>
        <v>16.5</v>
      </c>
      <c r="K157" s="70">
        <f>-K99+J99-K103+J103</f>
        <v>16.5</v>
      </c>
      <c r="L157" s="70">
        <f t="shared" ref="L157:N157" si="56">-L99+K99-L103+K103</f>
        <v>16.5</v>
      </c>
      <c r="M157" s="70">
        <f t="shared" si="56"/>
        <v>16.5</v>
      </c>
      <c r="N157" s="70">
        <f t="shared" si="56"/>
        <v>16.5</v>
      </c>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row>
    <row r="158" spans="1:74" ht="12.75" x14ac:dyDescent="0.2">
      <c r="B158" s="399" t="s">
        <v>66</v>
      </c>
      <c r="C158" s="132">
        <f>+SUM(C155:C157)</f>
        <v>436.73199999999753</v>
      </c>
      <c r="D158" s="132">
        <f t="shared" ref="D158:F158" si="57">+SUM(D155:D157)</f>
        <v>2668.9960000000115</v>
      </c>
      <c r="E158" s="132">
        <f t="shared" si="57"/>
        <v>679.03899999999328</v>
      </c>
      <c r="F158" s="132">
        <f t="shared" si="57"/>
        <v>-1968.4679999999994</v>
      </c>
      <c r="G158" s="133"/>
      <c r="H158" s="132">
        <f>+SUM(H155:H157)</f>
        <v>-1851.6564300000196</v>
      </c>
      <c r="I158" s="400"/>
      <c r="J158" s="132">
        <f>+SUM(J155:J157)</f>
        <v>55.029907537596145</v>
      </c>
      <c r="K158" s="132">
        <f t="shared" ref="K158:N158" si="58">+SUM(K155:K157)</f>
        <v>1912.0917396140237</v>
      </c>
      <c r="L158" s="132">
        <f t="shared" si="58"/>
        <v>3168.1141110547128</v>
      </c>
      <c r="M158" s="132">
        <f t="shared" si="58"/>
        <v>4409.4912152058514</v>
      </c>
      <c r="N158" s="132">
        <f t="shared" si="58"/>
        <v>5728.4651697214158</v>
      </c>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row>
    <row r="159" spans="1:74" ht="3.75" customHeight="1" x14ac:dyDescent="0.2">
      <c r="B159" s="8"/>
      <c r="G159" s="16"/>
      <c r="J159" s="26"/>
      <c r="K159" s="26"/>
      <c r="L159" s="26"/>
      <c r="M159" s="26"/>
      <c r="N159" s="26"/>
    </row>
    <row r="160" spans="1:74" ht="12.75" x14ac:dyDescent="0.2">
      <c r="B160" s="44" t="str">
        <f t="shared" ref="B160:B166" si="59">+B79</f>
        <v>Efectivo y Equivalentes</v>
      </c>
      <c r="C160" s="3"/>
      <c r="D160" s="3">
        <f t="shared" ref="D160:F166" si="60">+C79-D79</f>
        <v>2472.6669999999999</v>
      </c>
      <c r="E160" s="3">
        <f t="shared" si="60"/>
        <v>-4365.3760000000002</v>
      </c>
      <c r="F160" s="3">
        <f t="shared" si="60"/>
        <v>1296.9650000000001</v>
      </c>
      <c r="G160" s="17"/>
      <c r="H160" s="3">
        <f t="shared" ref="H160:H166" si="61">+F79-H79</f>
        <v>-802.14177999999993</v>
      </c>
      <c r="I160" s="3"/>
      <c r="J160" s="3">
        <f t="shared" ref="J160:J166" si="62">+H79-J79</f>
        <v>1560.0782484592587</v>
      </c>
      <c r="K160" s="3">
        <f t="shared" ref="K160:N166" si="63">+J79-K79</f>
        <v>-301.92458239666576</v>
      </c>
      <c r="L160" s="3">
        <f t="shared" si="63"/>
        <v>-341.49621503005801</v>
      </c>
      <c r="M160" s="3">
        <f t="shared" si="63"/>
        <v>-387.93967073186604</v>
      </c>
      <c r="N160" s="3">
        <f t="shared" si="63"/>
        <v>-442.65279006186665</v>
      </c>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row>
    <row r="161" spans="2:74" ht="12.75" x14ac:dyDescent="0.2">
      <c r="B161" s="44" t="str">
        <f t="shared" si="59"/>
        <v>Inversiones y valores</v>
      </c>
      <c r="C161" s="3"/>
      <c r="D161" s="3">
        <f t="shared" si="60"/>
        <v>0</v>
      </c>
      <c r="E161" s="3">
        <f t="shared" si="60"/>
        <v>0</v>
      </c>
      <c r="F161" s="3">
        <f t="shared" si="60"/>
        <v>0</v>
      </c>
      <c r="G161" s="17"/>
      <c r="H161" s="3">
        <f t="shared" si="61"/>
        <v>-0.5</v>
      </c>
      <c r="I161" s="3"/>
      <c r="J161" s="3">
        <f t="shared" si="62"/>
        <v>0.5</v>
      </c>
      <c r="K161" s="3">
        <f t="shared" si="63"/>
        <v>0</v>
      </c>
      <c r="L161" s="3">
        <f t="shared" si="63"/>
        <v>0</v>
      </c>
      <c r="M161" s="3">
        <f t="shared" si="63"/>
        <v>0</v>
      </c>
      <c r="N161" s="3">
        <f t="shared" si="63"/>
        <v>0</v>
      </c>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row>
    <row r="162" spans="2:74" ht="12.75" x14ac:dyDescent="0.2">
      <c r="B162" s="44" t="str">
        <f t="shared" si="59"/>
        <v>Clientes</v>
      </c>
      <c r="C162" s="3"/>
      <c r="D162" s="3">
        <f t="shared" si="60"/>
        <v>-1631.7999999999993</v>
      </c>
      <c r="E162" s="3">
        <f t="shared" si="60"/>
        <v>10099.196999999998</v>
      </c>
      <c r="F162" s="3">
        <f t="shared" si="60"/>
        <v>-4386.4629999999997</v>
      </c>
      <c r="G162" s="17"/>
      <c r="H162" s="3">
        <f t="shared" si="61"/>
        <v>-2482.4123099999997</v>
      </c>
      <c r="I162" s="3"/>
      <c r="J162" s="3">
        <f t="shared" si="62"/>
        <v>2010.0759180666646</v>
      </c>
      <c r="K162" s="3">
        <f t="shared" si="63"/>
        <v>-1358.6606207849964</v>
      </c>
      <c r="L162" s="3">
        <f t="shared" si="63"/>
        <v>-1536.7329676352601</v>
      </c>
      <c r="M162" s="3">
        <f t="shared" si="63"/>
        <v>-1745.7285182933956</v>
      </c>
      <c r="N162" s="3">
        <f t="shared" si="63"/>
        <v>-1991.937555278404</v>
      </c>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row>
    <row r="163" spans="2:74" ht="12.75" x14ac:dyDescent="0.2">
      <c r="B163" s="44" t="str">
        <f t="shared" si="59"/>
        <v>Deudores Diversos</v>
      </c>
      <c r="C163" s="3"/>
      <c r="D163" s="3">
        <f t="shared" si="60"/>
        <v>425.14000000000004</v>
      </c>
      <c r="E163" s="3">
        <f t="shared" si="60"/>
        <v>8.5179999999999723</v>
      </c>
      <c r="F163" s="3">
        <f t="shared" si="60"/>
        <v>-3.1089999999999804</v>
      </c>
      <c r="G163" s="17"/>
      <c r="H163" s="3">
        <f t="shared" si="61"/>
        <v>28.031510000000026</v>
      </c>
      <c r="I163" s="3"/>
      <c r="J163" s="3">
        <f t="shared" si="62"/>
        <v>-266.29661630814832</v>
      </c>
      <c r="K163" s="3">
        <f t="shared" si="63"/>
        <v>-60.384916479333128</v>
      </c>
      <c r="L163" s="3">
        <f t="shared" si="63"/>
        <v>-68.299243006011579</v>
      </c>
      <c r="M163" s="3">
        <f t="shared" si="63"/>
        <v>-77.587934146373186</v>
      </c>
      <c r="N163" s="3">
        <f t="shared" si="63"/>
        <v>-88.530558012373376</v>
      </c>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row>
    <row r="164" spans="2:74" ht="12.75" x14ac:dyDescent="0.2">
      <c r="B164" s="44" t="str">
        <f t="shared" si="59"/>
        <v>Inventarios</v>
      </c>
      <c r="C164" s="3"/>
      <c r="D164" s="3">
        <f t="shared" si="60"/>
        <v>-7199.9969999999994</v>
      </c>
      <c r="E164" s="3">
        <f t="shared" si="60"/>
        <v>-1622.8780000000006</v>
      </c>
      <c r="F164" s="3">
        <f t="shared" si="60"/>
        <v>10284.08</v>
      </c>
      <c r="G164" s="17"/>
      <c r="H164" s="3">
        <f t="shared" si="61"/>
        <v>-1831.8998800000008</v>
      </c>
      <c r="I164" s="3"/>
      <c r="J164" s="3">
        <f t="shared" si="62"/>
        <v>400.06114815995716</v>
      </c>
      <c r="K164" s="3">
        <f t="shared" si="63"/>
        <v>-801.01051740884759</v>
      </c>
      <c r="L164" s="3">
        <f t="shared" si="63"/>
        <v>-1018.1787758295741</v>
      </c>
      <c r="M164" s="3">
        <f t="shared" si="63"/>
        <v>-1212.834510738423</v>
      </c>
      <c r="N164" s="3">
        <f t="shared" si="63"/>
        <v>-1372.2136894234918</v>
      </c>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row>
    <row r="165" spans="2:74" ht="12.75" x14ac:dyDescent="0.2">
      <c r="B165" s="44" t="str">
        <f t="shared" si="59"/>
        <v>Impuestos a Favor</v>
      </c>
      <c r="C165" s="3"/>
      <c r="D165" s="3">
        <f t="shared" si="60"/>
        <v>998.23</v>
      </c>
      <c r="E165" s="3">
        <f t="shared" si="60"/>
        <v>169.60899999999992</v>
      </c>
      <c r="F165" s="3">
        <f t="shared" si="60"/>
        <v>1130.855</v>
      </c>
      <c r="G165" s="17"/>
      <c r="H165" s="3">
        <f t="shared" si="61"/>
        <v>-1151.9399199999998</v>
      </c>
      <c r="I165" s="3"/>
      <c r="J165" s="3">
        <f t="shared" si="62"/>
        <v>571.1103884592585</v>
      </c>
      <c r="K165" s="3">
        <f t="shared" si="63"/>
        <v>-301.92458239666576</v>
      </c>
      <c r="L165" s="3">
        <f t="shared" si="63"/>
        <v>-341.49621503005801</v>
      </c>
      <c r="M165" s="3">
        <f t="shared" si="63"/>
        <v>-387.93967073186604</v>
      </c>
      <c r="N165" s="3">
        <f t="shared" si="63"/>
        <v>-442.65279006186665</v>
      </c>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row>
    <row r="166" spans="2:74" ht="12.75" x14ac:dyDescent="0.2">
      <c r="B166" s="44" t="str">
        <f t="shared" si="59"/>
        <v>Otros Activos Circulantes</v>
      </c>
      <c r="C166" s="3"/>
      <c r="D166" s="3">
        <f t="shared" si="60"/>
        <v>-93.824000000000012</v>
      </c>
      <c r="E166" s="3">
        <f t="shared" si="60"/>
        <v>-49.649999999999977</v>
      </c>
      <c r="F166" s="3">
        <f t="shared" si="60"/>
        <v>-26.538000000000011</v>
      </c>
      <c r="G166" s="17"/>
      <c r="H166" s="3">
        <f t="shared" si="61"/>
        <v>-519.28771999999992</v>
      </c>
      <c r="I166" s="3"/>
      <c r="J166" s="3">
        <f t="shared" si="62"/>
        <v>550.31466684592579</v>
      </c>
      <c r="K166" s="3">
        <f t="shared" si="63"/>
        <v>-30.192458239666564</v>
      </c>
      <c r="L166" s="3">
        <f t="shared" si="63"/>
        <v>-34.14962150300579</v>
      </c>
      <c r="M166" s="3">
        <f t="shared" si="63"/>
        <v>-38.793967073186593</v>
      </c>
      <c r="N166" s="3">
        <f t="shared" si="63"/>
        <v>-44.265279006186688</v>
      </c>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row>
    <row r="167" spans="2:74" ht="12.75" x14ac:dyDescent="0.2">
      <c r="B167" s="44" t="str">
        <f>+B98</f>
        <v xml:space="preserve">Gastos de instalacion </v>
      </c>
      <c r="C167" s="3"/>
      <c r="D167" s="3">
        <f t="shared" ref="D167:F167" si="64">+C98-D98</f>
        <v>0</v>
      </c>
      <c r="E167" s="3">
        <f t="shared" si="64"/>
        <v>0</v>
      </c>
      <c r="F167" s="3">
        <f t="shared" si="64"/>
        <v>-65.805000000000007</v>
      </c>
      <c r="G167" s="17"/>
      <c r="H167" s="3">
        <f>+F98-H98</f>
        <v>8.8999999968564225E-4</v>
      </c>
      <c r="I167" s="3"/>
      <c r="J167" s="3">
        <f>+H98-J98</f>
        <v>0</v>
      </c>
      <c r="K167" s="3">
        <f t="shared" ref="K167:N167" si="65">+J98-K98</f>
        <v>0</v>
      </c>
      <c r="L167" s="3">
        <f t="shared" si="65"/>
        <v>0</v>
      </c>
      <c r="M167" s="3">
        <f t="shared" si="65"/>
        <v>0</v>
      </c>
      <c r="N167" s="3">
        <f t="shared" si="65"/>
        <v>0</v>
      </c>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row>
    <row r="168" spans="2:74" ht="12.75" x14ac:dyDescent="0.2">
      <c r="B168" s="44" t="str">
        <f t="shared" ref="B168:B169" si="66">+B100</f>
        <v>Actualización Gastos Diferidos</v>
      </c>
      <c r="C168" s="3"/>
      <c r="D168" s="3">
        <f t="shared" ref="D168:F170" si="67">+C100-D100</f>
        <v>0</v>
      </c>
      <c r="E168" s="3">
        <f t="shared" si="67"/>
        <v>0</v>
      </c>
      <c r="F168" s="3">
        <f t="shared" si="67"/>
        <v>0</v>
      </c>
      <c r="G168" s="17"/>
      <c r="H168" s="3">
        <f t="shared" ref="H168:H169" si="68">+F100-H100</f>
        <v>-5.1999999959662091E-4</v>
      </c>
      <c r="I168" s="3"/>
      <c r="J168" s="3">
        <f t="shared" ref="J168:J169" si="69">+H100-J100</f>
        <v>0</v>
      </c>
      <c r="K168" s="3">
        <f t="shared" ref="K168:N169" si="70">+J100-K100</f>
        <v>0</v>
      </c>
      <c r="L168" s="3">
        <f t="shared" si="70"/>
        <v>0</v>
      </c>
      <c r="M168" s="3">
        <f t="shared" si="70"/>
        <v>0</v>
      </c>
      <c r="N168" s="3">
        <f t="shared" si="70"/>
        <v>0</v>
      </c>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row>
    <row r="169" spans="2:74" ht="12.75" x14ac:dyDescent="0.2">
      <c r="B169" s="44" t="str">
        <f t="shared" si="66"/>
        <v>(Depreciación Actualización Gastos Diferidos)</v>
      </c>
      <c r="C169" s="3"/>
      <c r="D169" s="3">
        <f t="shared" si="67"/>
        <v>0</v>
      </c>
      <c r="E169" s="3">
        <f t="shared" si="67"/>
        <v>0</v>
      </c>
      <c r="F169" s="3">
        <f t="shared" si="67"/>
        <v>0</v>
      </c>
      <c r="G169" s="17"/>
      <c r="H169" s="3">
        <f t="shared" si="68"/>
        <v>2.8000000020256266E-4</v>
      </c>
      <c r="I169" s="3"/>
      <c r="J169" s="3">
        <f t="shared" si="69"/>
        <v>0</v>
      </c>
      <c r="K169" s="3">
        <f t="shared" si="70"/>
        <v>0</v>
      </c>
      <c r="L169" s="3">
        <f t="shared" si="70"/>
        <v>0</v>
      </c>
      <c r="M169" s="3">
        <f t="shared" si="70"/>
        <v>0</v>
      </c>
      <c r="N169" s="3">
        <f t="shared" si="70"/>
        <v>0</v>
      </c>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row>
    <row r="170" spans="2:74" ht="12.75" x14ac:dyDescent="0.2">
      <c r="B170" s="44" t="str">
        <f>+B102</f>
        <v>Formula Ecoclub IEQ</v>
      </c>
      <c r="C170" s="3"/>
      <c r="D170" s="3">
        <f t="shared" si="67"/>
        <v>0</v>
      </c>
      <c r="E170" s="3">
        <f t="shared" si="67"/>
        <v>0</v>
      </c>
      <c r="F170" s="3">
        <f t="shared" si="67"/>
        <v>0</v>
      </c>
      <c r="G170" s="17"/>
      <c r="H170" s="3">
        <f>+F102-H102</f>
        <v>0</v>
      </c>
      <c r="I170" s="3"/>
      <c r="J170" s="3">
        <f>+H102-J102</f>
        <v>0</v>
      </c>
      <c r="K170" s="3">
        <f>+J102-K102</f>
        <v>0</v>
      </c>
      <c r="L170" s="3">
        <f>+K102-L102</f>
        <v>0</v>
      </c>
      <c r="M170" s="3">
        <f>+L102-M102</f>
        <v>0</v>
      </c>
      <c r="N170" s="3">
        <f>+M102-N102</f>
        <v>0</v>
      </c>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row>
    <row r="171" spans="2:74" ht="12.75" x14ac:dyDescent="0.2">
      <c r="B171" s="44" t="str">
        <f>+B104</f>
        <v>Depositos en garantia</v>
      </c>
      <c r="C171" s="3"/>
      <c r="D171" s="3">
        <f>+C104-D104</f>
        <v>0.25999999999999979</v>
      </c>
      <c r="E171" s="3">
        <f>+D104-E104</f>
        <v>0</v>
      </c>
      <c r="F171" s="3">
        <f>+E104-F104</f>
        <v>-1.9999999999999991</v>
      </c>
      <c r="G171" s="17"/>
      <c r="H171" s="3">
        <f>+F104-H104</f>
        <v>0</v>
      </c>
      <c r="I171" s="3"/>
      <c r="J171" s="3">
        <f>+H104-J104</f>
        <v>0</v>
      </c>
      <c r="K171" s="3">
        <f>+J104-K104</f>
        <v>0</v>
      </c>
      <c r="L171" s="3">
        <f>+K104-L104</f>
        <v>0</v>
      </c>
      <c r="M171" s="3">
        <f>+L104-M104</f>
        <v>0</v>
      </c>
      <c r="N171" s="3">
        <f>+M104-N104</f>
        <v>0</v>
      </c>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row>
    <row r="172" spans="2:74" ht="12.75" x14ac:dyDescent="0.2">
      <c r="B172" s="44" t="str">
        <f>+B94</f>
        <v>Actualizacion de Activos Fijos</v>
      </c>
      <c r="C172" s="3"/>
      <c r="D172" s="3">
        <f>-C94+D94</f>
        <v>0</v>
      </c>
      <c r="E172" s="3">
        <f>-D94+E94</f>
        <v>0</v>
      </c>
      <c r="F172" s="3">
        <f>-E94+F94</f>
        <v>0</v>
      </c>
      <c r="G172" s="17"/>
      <c r="H172" s="3">
        <f>-F94+H94</f>
        <v>0</v>
      </c>
      <c r="I172" s="3"/>
      <c r="J172" s="3">
        <f>-H94+J94</f>
        <v>0</v>
      </c>
      <c r="K172" s="3">
        <f>-J94+K94</f>
        <v>0</v>
      </c>
      <c r="L172" s="3">
        <f t="shared" ref="L172:N172" si="71">-K94+L94</f>
        <v>0</v>
      </c>
      <c r="M172" s="3">
        <f t="shared" si="71"/>
        <v>0</v>
      </c>
      <c r="N172" s="3">
        <f t="shared" si="71"/>
        <v>0</v>
      </c>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row>
    <row r="173" spans="2:74" ht="12.75" x14ac:dyDescent="0.2">
      <c r="B173" s="44" t="str">
        <f>+B95</f>
        <v>(Depreciación Actualización de Activos Fijos)</v>
      </c>
      <c r="C173" s="3"/>
      <c r="D173" s="3">
        <f>+C95-D95</f>
        <v>430.5</v>
      </c>
      <c r="E173" s="3">
        <f>-D95+E95</f>
        <v>0</v>
      </c>
      <c r="F173" s="3">
        <f>-E95+F95</f>
        <v>1.0000000002037268E-3</v>
      </c>
      <c r="G173" s="17"/>
      <c r="H173" s="3">
        <f>+F95-H95</f>
        <v>0</v>
      </c>
      <c r="I173" s="3"/>
      <c r="J173" s="3">
        <f>+H95-J95</f>
        <v>0</v>
      </c>
      <c r="K173" s="3">
        <f>+J95-K95</f>
        <v>0</v>
      </c>
      <c r="L173" s="3">
        <f t="shared" ref="L173:N173" si="72">+K95-L95</f>
        <v>0</v>
      </c>
      <c r="M173" s="3">
        <f t="shared" si="72"/>
        <v>0</v>
      </c>
      <c r="N173" s="3">
        <f t="shared" si="72"/>
        <v>0</v>
      </c>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row>
    <row r="174" spans="2:74" ht="12.75" x14ac:dyDescent="0.2">
      <c r="B174" s="44" t="str">
        <f>+B111</f>
        <v>Proveedores</v>
      </c>
      <c r="C174" s="3"/>
      <c r="D174" s="3">
        <f t="shared" ref="D174:F178" si="73">-C111+D111</f>
        <v>1657.4570000000003</v>
      </c>
      <c r="E174" s="3">
        <f t="shared" si="73"/>
        <v>-3344.9580000000005</v>
      </c>
      <c r="F174" s="3">
        <f t="shared" si="73"/>
        <v>-3770.976999999999</v>
      </c>
      <c r="G174" s="17"/>
      <c r="H174" s="3">
        <f>-F111+H111</f>
        <v>6924.0809100000006</v>
      </c>
      <c r="I174" s="3"/>
      <c r="J174" s="3">
        <f>-H111+J111</f>
        <v>-2025.0067116799528</v>
      </c>
      <c r="K174" s="3">
        <f t="shared" ref="K174:N178" si="74">-J111+K111</f>
        <v>901.13683208495422</v>
      </c>
      <c r="L174" s="3">
        <f t="shared" si="74"/>
        <v>1145.4511228082702</v>
      </c>
      <c r="M174" s="3">
        <f t="shared" si="74"/>
        <v>1364.438824580724</v>
      </c>
      <c r="N174" s="3">
        <f t="shared" si="74"/>
        <v>1543.7404006014294</v>
      </c>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row>
    <row r="175" spans="2:74" ht="12.75" x14ac:dyDescent="0.2">
      <c r="B175" s="44" t="str">
        <f>+B112</f>
        <v>Acreedores Diversos</v>
      </c>
      <c r="C175" s="3"/>
      <c r="D175" s="3">
        <f t="shared" si="73"/>
        <v>-8.0189999999999984</v>
      </c>
      <c r="E175" s="3">
        <f t="shared" si="73"/>
        <v>-2.6689999999999969</v>
      </c>
      <c r="F175" s="3">
        <f t="shared" si="73"/>
        <v>4.5999999999999943</v>
      </c>
      <c r="G175" s="17"/>
      <c r="H175" s="3">
        <f>-F112+H112</f>
        <v>204.64716999999999</v>
      </c>
      <c r="I175" s="3"/>
      <c r="J175" s="3">
        <f>-H112+J112</f>
        <v>51.194883154074148</v>
      </c>
      <c r="K175" s="3">
        <f t="shared" si="74"/>
        <v>30.192458239666564</v>
      </c>
      <c r="L175" s="3">
        <f t="shared" si="74"/>
        <v>34.14962150300579</v>
      </c>
      <c r="M175" s="3">
        <f t="shared" si="74"/>
        <v>38.793967073186593</v>
      </c>
      <c r="N175" s="3">
        <f t="shared" si="74"/>
        <v>44.265279006186688</v>
      </c>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row>
    <row r="176" spans="2:74" ht="12.75" x14ac:dyDescent="0.2">
      <c r="B176" s="44" t="str">
        <f>+B113</f>
        <v>Impuestos por Pagar</v>
      </c>
      <c r="C176" s="3"/>
      <c r="D176" s="3">
        <f t="shared" si="73"/>
        <v>653.72699999999998</v>
      </c>
      <c r="E176" s="3">
        <f t="shared" si="73"/>
        <v>-202.73399999999992</v>
      </c>
      <c r="F176" s="3">
        <f t="shared" si="73"/>
        <v>-226.81500000000005</v>
      </c>
      <c r="G176" s="17"/>
      <c r="H176" s="3">
        <f>-F113+H113</f>
        <v>2896.2940800000001</v>
      </c>
      <c r="I176" s="3"/>
      <c r="J176" s="3">
        <f>-H113+J113</f>
        <v>-1965.2038142296294</v>
      </c>
      <c r="K176" s="3">
        <f t="shared" si="74"/>
        <v>150.96229119833288</v>
      </c>
      <c r="L176" s="3">
        <f t="shared" si="74"/>
        <v>170.74810751502901</v>
      </c>
      <c r="M176" s="3">
        <f t="shared" si="74"/>
        <v>193.96983536593302</v>
      </c>
      <c r="N176" s="3">
        <f t="shared" si="74"/>
        <v>221.32639503093333</v>
      </c>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row>
    <row r="177" spans="2:74" ht="12.75" x14ac:dyDescent="0.2">
      <c r="B177" s="44" t="str">
        <f>+B114</f>
        <v>PTU</v>
      </c>
      <c r="C177" s="3"/>
      <c r="D177" s="3">
        <f t="shared" si="73"/>
        <v>248.22399999999999</v>
      </c>
      <c r="E177" s="3">
        <f t="shared" si="73"/>
        <v>-273.74099999999999</v>
      </c>
      <c r="F177" s="3">
        <f t="shared" si="73"/>
        <v>-224.256</v>
      </c>
      <c r="G177" s="17"/>
      <c r="H177" s="3">
        <f>-F114+H114</f>
        <v>2.9000000000012349E-4</v>
      </c>
      <c r="I177" s="3"/>
      <c r="J177" s="3">
        <f>-H114+J114</f>
        <v>-3.5852900000000001</v>
      </c>
      <c r="K177" s="3">
        <f t="shared" si="74"/>
        <v>0</v>
      </c>
      <c r="L177" s="3">
        <f t="shared" si="74"/>
        <v>0</v>
      </c>
      <c r="M177" s="3">
        <f t="shared" si="74"/>
        <v>0</v>
      </c>
      <c r="N177" s="3">
        <f t="shared" si="74"/>
        <v>0</v>
      </c>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row>
    <row r="178" spans="2:74" ht="12.75" x14ac:dyDescent="0.2">
      <c r="B178" s="44" t="str">
        <f>+B115</f>
        <v>Otros pasivos</v>
      </c>
      <c r="C178" s="4"/>
      <c r="D178" s="4">
        <f t="shared" si="73"/>
        <v>222.86300000000028</v>
      </c>
      <c r="E178" s="4">
        <f t="shared" si="73"/>
        <v>-1260.2210000000002</v>
      </c>
      <c r="F178" s="4">
        <f t="shared" si="73"/>
        <v>454.10100000000011</v>
      </c>
      <c r="G178" s="18"/>
      <c r="H178" s="4">
        <f>-F115+H115</f>
        <v>-1636.6396300000001</v>
      </c>
      <c r="I178" s="3"/>
      <c r="J178" s="3">
        <f>-H115+J115</f>
        <v>-68.810369999999992</v>
      </c>
      <c r="K178" s="3">
        <f t="shared" si="74"/>
        <v>0</v>
      </c>
      <c r="L178" s="3">
        <f t="shared" si="74"/>
        <v>0</v>
      </c>
      <c r="M178" s="3">
        <f t="shared" si="74"/>
        <v>0</v>
      </c>
      <c r="N178" s="3">
        <f t="shared" si="74"/>
        <v>0</v>
      </c>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row>
    <row r="179" spans="2:74" s="43" customFormat="1" ht="12.75" x14ac:dyDescent="0.2">
      <c r="B179" s="399" t="s">
        <v>67</v>
      </c>
      <c r="C179" s="132"/>
      <c r="D179" s="132">
        <f>+SUM(D160:D178)</f>
        <v>-1824.5719999999972</v>
      </c>
      <c r="E179" s="132">
        <f>+SUM(E160:E178)</f>
        <v>-844.90300000000241</v>
      </c>
      <c r="F179" s="132">
        <f>+SUM(F160:F178)</f>
        <v>4464.6390000000001</v>
      </c>
      <c r="G179" s="133"/>
      <c r="H179" s="132">
        <f>+SUM(H160:H178)</f>
        <v>1628.2333699999995</v>
      </c>
      <c r="I179" s="132"/>
      <c r="J179" s="132">
        <f>+SUM(J160:J178)</f>
        <v>814.43245092740779</v>
      </c>
      <c r="K179" s="132">
        <f>+SUM(K160:K178)</f>
        <v>-1771.8060961832214</v>
      </c>
      <c r="L179" s="132">
        <f>+SUM(L160:L178)</f>
        <v>-1990.0041862076628</v>
      </c>
      <c r="M179" s="132">
        <f>+SUM(M160:M178)</f>
        <v>-2253.6216446952667</v>
      </c>
      <c r="N179" s="132">
        <f>+SUM(N160:N178)</f>
        <v>-2572.9205872056395</v>
      </c>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row>
    <row r="180" spans="2:74" ht="3.75" customHeight="1" x14ac:dyDescent="0.2">
      <c r="B180" s="8"/>
      <c r="G180" s="16"/>
      <c r="J180" s="26"/>
      <c r="K180" s="26"/>
      <c r="L180" s="26"/>
      <c r="M180" s="26"/>
      <c r="N180" s="26"/>
    </row>
    <row r="181" spans="2:74" ht="12.75" x14ac:dyDescent="0.2">
      <c r="B181" s="399" t="s">
        <v>68</v>
      </c>
      <c r="C181" s="132"/>
      <c r="D181" s="132">
        <f>+D179+D158</f>
        <v>844.4240000000143</v>
      </c>
      <c r="E181" s="132">
        <f>+E179+E158</f>
        <v>-165.86400000000913</v>
      </c>
      <c r="F181" s="132">
        <f>+F179+F158</f>
        <v>2496.1710000000007</v>
      </c>
      <c r="G181" s="133"/>
      <c r="H181" s="132">
        <f>+H179+H158</f>
        <v>-223.42306000002009</v>
      </c>
      <c r="I181" s="400"/>
      <c r="J181" s="132">
        <f>+J179+J158</f>
        <v>869.46235846500394</v>
      </c>
      <c r="K181" s="132">
        <f>+K179+K158</f>
        <v>140.28564343080234</v>
      </c>
      <c r="L181" s="132">
        <f>+L179+L158</f>
        <v>1178.10992484705</v>
      </c>
      <c r="M181" s="132">
        <f>+M179+M158</f>
        <v>2155.8695705105847</v>
      </c>
      <c r="N181" s="132">
        <f>+N179+N158</f>
        <v>3155.5445825157763</v>
      </c>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row>
    <row r="182" spans="2:74" ht="3.75" customHeight="1" x14ac:dyDescent="0.2">
      <c r="B182" s="8"/>
      <c r="G182" s="16"/>
      <c r="J182" s="26"/>
      <c r="K182" s="26"/>
      <c r="L182" s="26"/>
      <c r="M182" s="26"/>
      <c r="N182" s="26"/>
    </row>
    <row r="183" spans="2:74" ht="12.75" x14ac:dyDescent="0.2">
      <c r="B183" s="44" t="s">
        <v>69</v>
      </c>
      <c r="C183" s="3"/>
      <c r="D183" s="3">
        <f>+SUM(C88:C94)-SUM(D88:D94)</f>
        <v>0</v>
      </c>
      <c r="E183" s="3">
        <f>+SUM(D88:D94)-SUM(E88:E94)</f>
        <v>477.51299999999901</v>
      </c>
      <c r="F183" s="3">
        <f>+SUM(E88:E94)-SUM(F88:F94)</f>
        <v>668.4890000000014</v>
      </c>
      <c r="G183" s="17"/>
      <c r="H183" s="3">
        <f>+SUM(F88:F94)-SUM(H88:H94)</f>
        <v>235.91605000000345</v>
      </c>
      <c r="I183" s="3"/>
      <c r="J183" s="55">
        <f>+SUM(H88:H92)-SUM(J88:J92)</f>
        <v>-189.03420400000141</v>
      </c>
      <c r="K183" s="55">
        <f>+SUM(J88:J92)-SUM(K88:K92)</f>
        <v>-634.31487562499933</v>
      </c>
      <c r="L183" s="55">
        <f>+SUM(K88:K92)-SUM(L88:L92)</f>
        <v>-215.4880813312484</v>
      </c>
      <c r="M183" s="55">
        <f>+SUM(L88:L92)-SUM(M88:M92)</f>
        <v>-698.11917776906375</v>
      </c>
      <c r="N183" s="55">
        <f>+SUM(M88:M92)-SUM(N88:N92)</f>
        <v>-234.48304692126658</v>
      </c>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row>
    <row r="184" spans="2:74" ht="12.75" x14ac:dyDescent="0.2">
      <c r="B184" s="44" t="str">
        <f>+B118</f>
        <v xml:space="preserve">Documentos por pagar a largo plazo </v>
      </c>
      <c r="C184" s="3"/>
      <c r="D184" s="3">
        <f>-C118+D118</f>
        <v>0</v>
      </c>
      <c r="E184" s="3">
        <f>-D118+E118</f>
        <v>0</v>
      </c>
      <c r="F184" s="3">
        <f>-E118+F118</f>
        <v>0</v>
      </c>
      <c r="G184" s="17"/>
      <c r="H184" s="3">
        <f>-F118+H118</f>
        <v>0</v>
      </c>
      <c r="I184" s="3"/>
      <c r="J184" s="3">
        <f>-H118+J118</f>
        <v>0</v>
      </c>
      <c r="K184" s="3">
        <f>-J118+K118</f>
        <v>0</v>
      </c>
      <c r="L184" s="3">
        <f>-K118+L118</f>
        <v>0</v>
      </c>
      <c r="M184" s="3">
        <f>-L118+M118</f>
        <v>0</v>
      </c>
      <c r="N184" s="3">
        <f>-M118+N118</f>
        <v>0</v>
      </c>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row>
    <row r="185" spans="2:74" ht="12.75" x14ac:dyDescent="0.2">
      <c r="B185" s="44" t="str">
        <f>+B123</f>
        <v>Capital Social</v>
      </c>
      <c r="C185" s="3"/>
      <c r="D185" s="3">
        <f t="shared" ref="D185:F187" si="75">-C123+D123</f>
        <v>0</v>
      </c>
      <c r="E185" s="3">
        <f t="shared" si="75"/>
        <v>0</v>
      </c>
      <c r="F185" s="3">
        <f t="shared" si="75"/>
        <v>0</v>
      </c>
      <c r="G185" s="17"/>
      <c r="H185" s="3">
        <f>-F123+H123</f>
        <v>0</v>
      </c>
      <c r="I185" s="3"/>
      <c r="J185" s="3">
        <f>-H123+J123</f>
        <v>0</v>
      </c>
      <c r="K185" s="3">
        <f t="shared" ref="K185:N187" si="76">-J123+K123</f>
        <v>0</v>
      </c>
      <c r="L185" s="3">
        <f t="shared" si="76"/>
        <v>0</v>
      </c>
      <c r="M185" s="3">
        <f t="shared" si="76"/>
        <v>0</v>
      </c>
      <c r="N185" s="3">
        <f t="shared" si="76"/>
        <v>0</v>
      </c>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row>
    <row r="186" spans="2:74" ht="12.75" x14ac:dyDescent="0.2">
      <c r="B186" s="44" t="str">
        <f>+B124</f>
        <v>Reserva legal</v>
      </c>
      <c r="C186" s="3"/>
      <c r="D186" s="3">
        <f t="shared" si="75"/>
        <v>0</v>
      </c>
      <c r="E186" s="3">
        <f t="shared" si="75"/>
        <v>0</v>
      </c>
      <c r="F186" s="3">
        <f t="shared" si="75"/>
        <v>0</v>
      </c>
      <c r="G186" s="17"/>
      <c r="H186" s="3">
        <f>-F124+H124</f>
        <v>0</v>
      </c>
      <c r="I186" s="3"/>
      <c r="J186" s="3">
        <f>-H124+J124</f>
        <v>0</v>
      </c>
      <c r="K186" s="3">
        <f t="shared" si="76"/>
        <v>0</v>
      </c>
      <c r="L186" s="3">
        <f t="shared" si="76"/>
        <v>0</v>
      </c>
      <c r="M186" s="3">
        <f t="shared" si="76"/>
        <v>0</v>
      </c>
      <c r="N186" s="3">
        <f t="shared" si="76"/>
        <v>0</v>
      </c>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row>
    <row r="187" spans="2:74" ht="12.75" x14ac:dyDescent="0.2">
      <c r="B187" s="44" t="str">
        <f>+B125</f>
        <v>Otras cuentas de capital</v>
      </c>
      <c r="C187" s="3"/>
      <c r="D187" s="3">
        <f t="shared" si="75"/>
        <v>-544.42400000000089</v>
      </c>
      <c r="E187" s="3">
        <f t="shared" si="75"/>
        <v>65.59400000000096</v>
      </c>
      <c r="F187" s="3">
        <f t="shared" si="75"/>
        <v>28.97400000000016</v>
      </c>
      <c r="G187" s="17"/>
      <c r="H187" s="3">
        <f>-F125+H125</f>
        <v>16472.20811</v>
      </c>
      <c r="I187" s="3"/>
      <c r="J187" s="3">
        <f>-H125+J125</f>
        <v>0</v>
      </c>
      <c r="K187" s="3">
        <f t="shared" si="76"/>
        <v>0</v>
      </c>
      <c r="L187" s="3">
        <f t="shared" si="76"/>
        <v>0</v>
      </c>
      <c r="M187" s="3">
        <f t="shared" si="76"/>
        <v>0</v>
      </c>
      <c r="N187" s="3">
        <f t="shared" si="76"/>
        <v>0</v>
      </c>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row>
    <row r="188" spans="2:74" ht="12.75" x14ac:dyDescent="0.2">
      <c r="B188" s="44" t="str">
        <f>+B126</f>
        <v>Resultados de Ejercicios Anteriores</v>
      </c>
      <c r="C188" s="4"/>
      <c r="D188" s="4">
        <f>-C126-C127+D126</f>
        <v>-300.00000000000728</v>
      </c>
      <c r="E188" s="4">
        <f>-D126-D127+E126</f>
        <v>-377.24300000000949</v>
      </c>
      <c r="F188" s="4">
        <f>-E126-E127+F126</f>
        <v>-3193.6319999999978</v>
      </c>
      <c r="G188" s="18"/>
      <c r="H188" s="4">
        <f>-F126-F127+H126</f>
        <v>-16484.701140000005</v>
      </c>
      <c r="I188" s="3"/>
      <c r="J188" s="3">
        <f>-H126-H127+J126</f>
        <v>0</v>
      </c>
      <c r="K188" s="3">
        <f>-J126-J127+K126</f>
        <v>0</v>
      </c>
      <c r="L188" s="3">
        <f>-K126-K127+L126</f>
        <v>0</v>
      </c>
      <c r="M188" s="3">
        <f>-L126-L127+M126</f>
        <v>0</v>
      </c>
      <c r="N188" s="3">
        <f>-M126-M127+N126</f>
        <v>0</v>
      </c>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row>
    <row r="189" spans="2:74" ht="12.75" x14ac:dyDescent="0.2">
      <c r="B189" s="399" t="s">
        <v>70</v>
      </c>
      <c r="C189" s="132"/>
      <c r="D189" s="132">
        <f>+SUM(D183:D188)</f>
        <v>-844.42400000000816</v>
      </c>
      <c r="E189" s="132">
        <f>+SUM(E183:E188)</f>
        <v>165.86399999999048</v>
      </c>
      <c r="F189" s="132">
        <f>+SUM(F183:F188)</f>
        <v>-2496.1689999999962</v>
      </c>
      <c r="G189" s="133"/>
      <c r="H189" s="132">
        <f>+SUM(H183:H188)</f>
        <v>223.42301999999836</v>
      </c>
      <c r="I189" s="400"/>
      <c r="J189" s="132">
        <f>+SUM(J183:J188)</f>
        <v>-189.03420400000141</v>
      </c>
      <c r="K189" s="132">
        <f>+SUM(K183:K188)</f>
        <v>-634.31487562499933</v>
      </c>
      <c r="L189" s="132">
        <f>+SUM(L183:L188)</f>
        <v>-215.4880813312484</v>
      </c>
      <c r="M189" s="132">
        <f>+SUM(M183:M188)</f>
        <v>-698.11917776906375</v>
      </c>
      <c r="N189" s="132">
        <f>+SUM(N183:N188)</f>
        <v>-234.48304692126658</v>
      </c>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row>
    <row r="190" spans="2:74" ht="3.75" customHeight="1" x14ac:dyDescent="0.2">
      <c r="B190" s="8"/>
      <c r="G190" s="16"/>
      <c r="J190" s="26"/>
      <c r="K190" s="26"/>
      <c r="L190" s="26"/>
      <c r="M190" s="26"/>
      <c r="N190" s="26"/>
    </row>
    <row r="191" spans="2:74" ht="12.75" x14ac:dyDescent="0.2">
      <c r="B191" s="399" t="s">
        <v>71</v>
      </c>
      <c r="C191" s="132"/>
      <c r="D191" s="132">
        <f>+D181+D189</f>
        <v>6.1390892369672656E-12</v>
      </c>
      <c r="E191" s="132">
        <f>+E181+E189</f>
        <v>-1.8644641386345029E-11</v>
      </c>
      <c r="F191" s="132">
        <f>+F181+F189-2</f>
        <v>-1.9979999999954998</v>
      </c>
      <c r="G191" s="133"/>
      <c r="H191" s="132">
        <f>+H181+H189</f>
        <v>-4.0000021726882551E-5</v>
      </c>
      <c r="I191" s="400"/>
      <c r="J191" s="132">
        <f>+J181+J189</f>
        <v>680.42815446500254</v>
      </c>
      <c r="K191" s="132">
        <f>+K181+K189</f>
        <v>-494.02923219419699</v>
      </c>
      <c r="L191" s="132">
        <f>+L181+L189</f>
        <v>962.62184351580163</v>
      </c>
      <c r="M191" s="132">
        <f>+M181+M189</f>
        <v>1457.750392741521</v>
      </c>
      <c r="N191" s="132">
        <f>+N181+N189</f>
        <v>2921.0615355945097</v>
      </c>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row>
    <row r="192" spans="2:74" ht="12.75" x14ac:dyDescent="0.2">
      <c r="B192" s="401" t="s">
        <v>72</v>
      </c>
      <c r="C192" s="132"/>
      <c r="D192" s="132">
        <f t="shared" ref="D192:F192" si="77">+C192+D191</f>
        <v>6.1390892369672656E-12</v>
      </c>
      <c r="E192" s="132">
        <f t="shared" si="77"/>
        <v>-1.2505552149377763E-11</v>
      </c>
      <c r="F192" s="132">
        <f t="shared" si="77"/>
        <v>-1.9980000000080054</v>
      </c>
      <c r="G192" s="402"/>
      <c r="H192" s="132">
        <f>(F192+H191)</f>
        <v>-1.9980400000297323</v>
      </c>
      <c r="I192" s="400"/>
      <c r="J192" s="132">
        <f>+H192+J191</f>
        <v>678.4301144649728</v>
      </c>
      <c r="K192" s="132">
        <f>+J192+K191</f>
        <v>184.40088227077581</v>
      </c>
      <c r="L192" s="132">
        <f t="shared" ref="L192:N192" si="78">+K192+L191</f>
        <v>1147.0227257865774</v>
      </c>
      <c r="M192" s="132">
        <f t="shared" si="78"/>
        <v>2604.7731185280982</v>
      </c>
      <c r="N192" s="132">
        <f t="shared" si="78"/>
        <v>5525.8346541226074</v>
      </c>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row>
    <row r="193" spans="1:74" ht="12.75"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row>
    <row r="194" spans="1:74" ht="12.75" x14ac:dyDescent="0.2">
      <c r="C194" s="3"/>
      <c r="D194" s="3"/>
      <c r="E194" s="3"/>
      <c r="F194" s="3"/>
      <c r="G194" s="3"/>
      <c r="H194" s="3"/>
      <c r="I194" s="3"/>
      <c r="J194" s="3">
        <f>+J107-J192</f>
        <v>1.9980000000134623</v>
      </c>
      <c r="K194" s="3">
        <f>+K107-K192</f>
        <v>1.9980000000035147</v>
      </c>
      <c r="L194" s="3">
        <f>+L107-L192</f>
        <v>1.9980000000134623</v>
      </c>
      <c r="M194" s="3">
        <f>+M107-M192</f>
        <v>1.9980000000055043</v>
      </c>
      <c r="N194" s="3">
        <f>+N107-N192</f>
        <v>1.9980000000086875</v>
      </c>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row>
    <row r="195" spans="1:74" ht="12.75"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row>
    <row r="196" spans="1:74" ht="12.75" hidden="1" x14ac:dyDescent="0.2">
      <c r="A196" s="1" t="s">
        <v>132</v>
      </c>
      <c r="C196" s="3"/>
      <c r="D196" s="3"/>
      <c r="E196" s="3"/>
      <c r="F196" s="3"/>
      <c r="G196" s="3"/>
      <c r="H196" s="3"/>
      <c r="I196" s="11"/>
      <c r="J196" s="11">
        <v>2015</v>
      </c>
      <c r="K196" s="11">
        <v>2016</v>
      </c>
      <c r="L196" s="11">
        <v>2017</v>
      </c>
      <c r="M196" s="11">
        <v>2018</v>
      </c>
      <c r="N196" s="11">
        <v>2019</v>
      </c>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row>
    <row r="197" spans="1:74" ht="5.25" hidden="1" customHeight="1" x14ac:dyDescent="0.2">
      <c r="C197" s="3"/>
      <c r="D197" s="3"/>
      <c r="E197" s="3"/>
      <c r="F197" s="3"/>
      <c r="G197" s="3"/>
      <c r="H197" s="3"/>
      <c r="I197" s="3"/>
      <c r="J197" s="11"/>
      <c r="K197" s="11"/>
      <c r="L197" s="11"/>
      <c r="M197" s="11"/>
      <c r="N197" s="11"/>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row>
    <row r="198" spans="1:74" ht="12.75" hidden="1" x14ac:dyDescent="0.2">
      <c r="C198" s="3"/>
      <c r="D198" s="3"/>
      <c r="E198" s="3"/>
      <c r="F198" s="3"/>
      <c r="G198" s="3"/>
      <c r="H198" s="3"/>
      <c r="I198" s="51"/>
      <c r="J198" s="5">
        <f>+J191/1000</f>
        <v>0.68042815446500249</v>
      </c>
      <c r="K198" s="5">
        <f t="shared" ref="K198:N198" si="79">+K191/1000</f>
        <v>-0.49402923219419698</v>
      </c>
      <c r="L198" s="5">
        <f t="shared" si="79"/>
        <v>0.9626218435158016</v>
      </c>
      <c r="M198" s="5">
        <f t="shared" si="79"/>
        <v>1.457750392741521</v>
      </c>
      <c r="N198" s="5">
        <f t="shared" si="79"/>
        <v>2.9210615355945095</v>
      </c>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row>
    <row r="199" spans="1:74" ht="12.75" hidden="1" x14ac:dyDescent="0.2">
      <c r="C199" s="3"/>
      <c r="D199" s="3"/>
      <c r="E199" s="3"/>
      <c r="F199" s="3"/>
      <c r="G199" s="3"/>
      <c r="H199" s="3"/>
      <c r="I199" s="51"/>
      <c r="J199" s="3"/>
      <c r="K199" s="3"/>
      <c r="L199" s="3"/>
      <c r="M199" s="3"/>
      <c r="N199" s="3">
        <f>+N198/$I$201</f>
        <v>19.474630893301303</v>
      </c>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row>
    <row r="200" spans="1:74" ht="12.75" hidden="1" x14ac:dyDescent="0.2">
      <c r="C200" s="3"/>
      <c r="D200" s="3"/>
      <c r="E200" s="3"/>
      <c r="F200" s="3"/>
      <c r="G200" s="3"/>
      <c r="H200" s="3"/>
      <c r="I200" s="51"/>
      <c r="J200" s="5">
        <f>+J198+J199</f>
        <v>0.68042815446500249</v>
      </c>
      <c r="K200" s="5">
        <f t="shared" ref="K200:M200" si="80">+K198+K199</f>
        <v>-0.49402923219419698</v>
      </c>
      <c r="L200" s="5">
        <f t="shared" si="80"/>
        <v>0.9626218435158016</v>
      </c>
      <c r="M200" s="5">
        <f t="shared" si="80"/>
        <v>1.457750392741521</v>
      </c>
      <c r="N200" s="5">
        <f>+N198+N199</f>
        <v>22.395692428895813</v>
      </c>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row>
    <row r="201" spans="1:74" ht="7.5" hidden="1" customHeight="1" x14ac:dyDescent="0.25">
      <c r="C201" s="3"/>
      <c r="D201" s="3"/>
      <c r="E201" s="3"/>
      <c r="F201" s="3"/>
      <c r="G201" s="3"/>
      <c r="H201" s="3"/>
      <c r="I201" s="251">
        <f>+WACC!H14</f>
        <v>0.14999316554950823</v>
      </c>
      <c r="J201" s="52">
        <f>+(1+$I$201)^1</f>
        <v>1.1499931655495081</v>
      </c>
      <c r="K201" s="52">
        <f>+(1+$I$201)^2</f>
        <v>1.3224842808105783</v>
      </c>
      <c r="L201" s="52">
        <f>+(1+$I$201)^3</f>
        <v>1.5208478844788216</v>
      </c>
      <c r="M201" s="52">
        <f>+(1+$I$201)^4</f>
        <v>1.7489646729910726</v>
      </c>
      <c r="N201" s="52">
        <f>+(1+$I$201)^5</f>
        <v>2.011297420727264</v>
      </c>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row>
    <row r="202" spans="1:74" ht="12.75" hidden="1" x14ac:dyDescent="0.2">
      <c r="C202" s="3"/>
      <c r="D202" s="3"/>
      <c r="E202" s="3"/>
      <c r="F202" s="3"/>
      <c r="G202" s="3"/>
      <c r="H202" s="3"/>
      <c r="I202" s="51"/>
      <c r="J202" s="50"/>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row>
    <row r="203" spans="1:74" ht="12.75" hidden="1" x14ac:dyDescent="0.2">
      <c r="C203" s="3"/>
      <c r="D203" s="3"/>
      <c r="E203" s="3"/>
      <c r="F203" s="3"/>
      <c r="G203" s="3"/>
      <c r="H203" s="3"/>
      <c r="I203" s="51"/>
      <c r="J203" s="5">
        <f>+J200/J201</f>
        <v>0.59168017241204163</v>
      </c>
      <c r="K203" s="5">
        <f t="shared" ref="K203:N203" si="81">+K200/K201</f>
        <v>-0.37356151552243488</v>
      </c>
      <c r="L203" s="5">
        <f t="shared" si="81"/>
        <v>0.632950772618316</v>
      </c>
      <c r="M203" s="5">
        <f t="shared" si="81"/>
        <v>0.83349333194276698</v>
      </c>
      <c r="N203" s="5">
        <f t="shared" si="81"/>
        <v>11.134948117617416</v>
      </c>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row>
    <row r="204" spans="1:74" ht="5.25" hidden="1" customHeight="1" x14ac:dyDescent="0.2">
      <c r="C204" s="3"/>
      <c r="D204" s="3"/>
      <c r="E204" s="3"/>
      <c r="F204" s="3"/>
      <c r="G204" s="3"/>
      <c r="H204" s="3"/>
      <c r="I204" s="51"/>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row>
    <row r="205" spans="1:74" ht="12.75" hidden="1" x14ac:dyDescent="0.2">
      <c r="C205" s="3"/>
      <c r="D205" s="3"/>
      <c r="E205" s="3"/>
      <c r="F205" s="3"/>
      <c r="G205" s="3"/>
      <c r="H205" s="3"/>
      <c r="I205" s="51"/>
      <c r="J205" s="132">
        <f>+SUM(J203:N203)</f>
        <v>12.819510879068105</v>
      </c>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row>
    <row r="206" spans="1:74" ht="12.75" hidden="1" x14ac:dyDescent="0.2">
      <c r="C206" s="3"/>
      <c r="D206" s="3"/>
      <c r="E206" s="3"/>
      <c r="F206" s="3"/>
      <c r="G206" s="3"/>
      <c r="H206" s="3"/>
      <c r="I206" s="51"/>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row>
    <row r="207" spans="1:74" ht="12.75" hidden="1" x14ac:dyDescent="0.2">
      <c r="C207" s="3"/>
      <c r="D207" s="3"/>
      <c r="E207" s="3"/>
      <c r="F207" s="3"/>
      <c r="G207" s="3"/>
      <c r="H207" s="3"/>
      <c r="I207" s="51"/>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row>
    <row r="208" spans="1:74" ht="12.75" hidden="1"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row>
    <row r="209" spans="3:74" ht="12.75" hidden="1"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row>
    <row r="210" spans="3:74" ht="12.75" hidden="1"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row>
    <row r="211" spans="3:74" ht="12.75" hidden="1"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row>
    <row r="212" spans="3:74" ht="12.75" hidden="1"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row>
    <row r="213" spans="3:74" ht="12.75" hidden="1"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row>
    <row r="214" spans="3:74" ht="12.75" hidden="1"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row>
  </sheetData>
  <mergeCells count="8">
    <mergeCell ref="C152:H152"/>
    <mergeCell ref="J152:N152"/>
    <mergeCell ref="C5:H5"/>
    <mergeCell ref="J5:N5"/>
    <mergeCell ref="C76:H76"/>
    <mergeCell ref="J76:N76"/>
    <mergeCell ref="C135:H135"/>
    <mergeCell ref="J135:N135"/>
  </mergeCells>
  <pageMargins left="0.7" right="0.7" top="0.75" bottom="0.75" header="0.3" footer="0.3"/>
  <pageSetup orientation="portrait" horizontalDpi="1200" verticalDpi="1200" r:id="rId1"/>
  <ignoredErrors>
    <ignoredError sqref="C141:H1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C5:M114"/>
  <sheetViews>
    <sheetView showGridLines="0" tabSelected="1" workbookViewId="0">
      <selection activeCell="O28" sqref="O28"/>
    </sheetView>
  </sheetViews>
  <sheetFormatPr baseColWidth="10" defaultRowHeight="14.25" x14ac:dyDescent="0.2"/>
  <sheetData>
    <row r="5" spans="3:13" x14ac:dyDescent="0.2">
      <c r="C5" t="s">
        <v>421</v>
      </c>
      <c r="D5">
        <v>2010</v>
      </c>
      <c r="E5">
        <v>2011</v>
      </c>
      <c r="F5">
        <v>2012</v>
      </c>
      <c r="G5">
        <v>2013</v>
      </c>
      <c r="H5" t="s">
        <v>414</v>
      </c>
      <c r="I5" t="s">
        <v>415</v>
      </c>
      <c r="J5" t="s">
        <v>416</v>
      </c>
      <c r="K5" t="s">
        <v>417</v>
      </c>
      <c r="L5" t="s">
        <v>418</v>
      </c>
      <c r="M5" t="s">
        <v>419</v>
      </c>
    </row>
    <row r="6" spans="3:13" x14ac:dyDescent="0.2">
      <c r="C6" s="357" t="s">
        <v>392</v>
      </c>
      <c r="D6" s="162">
        <f>+'&gt;&gt;PL Modelo  (2)'!C8</f>
        <v>13182.138212699998</v>
      </c>
      <c r="E6" s="162">
        <f>+'&gt;&gt;PL Modelo  (2)'!D8</f>
        <v>12809.798698099998</v>
      </c>
      <c r="F6" s="162">
        <f>+'&gt;&gt;PL Modelo  (2)'!E8</f>
        <v>11863.2963944</v>
      </c>
      <c r="G6" s="162">
        <f>+'&gt;&gt;PL Modelo  (2)'!F8</f>
        <v>13076.885298800004</v>
      </c>
      <c r="H6" s="162">
        <f>+'&gt;&gt;PL Modelo  (2)'!G8</f>
        <v>17317.596718133333</v>
      </c>
      <c r="I6" s="162">
        <f>+'&gt;&gt;PL Modelo  (2)'!J8</f>
        <v>19049.356389946668</v>
      </c>
      <c r="J6" s="162">
        <f>+'&gt;&gt;PL Modelo  (2)'!K8</f>
        <v>23316.412221294722</v>
      </c>
      <c r="K6" s="162">
        <f>+'&gt;&gt;PL Modelo  (2)'!L8</f>
        <v>28539.28855886474</v>
      </c>
      <c r="L6" s="162">
        <f>+'&gt;&gt;PL Modelo  (2)'!M8</f>
        <v>34932.089196050438</v>
      </c>
      <c r="M6" s="162">
        <f>+'&gt;&gt;PL Modelo  (2)'!N8</f>
        <v>42756.877175965732</v>
      </c>
    </row>
    <row r="7" spans="3:13" x14ac:dyDescent="0.2">
      <c r="C7" s="357" t="s">
        <v>420</v>
      </c>
      <c r="D7" s="162">
        <f>+'&gt;&gt;PL Modelo  (2)'!C9</f>
        <v>88492.040629799987</v>
      </c>
      <c r="E7" s="162">
        <f>+'&gt;&gt;PL Modelo  (2)'!D9</f>
        <v>114977.60085520004</v>
      </c>
      <c r="F7" s="162">
        <f>+'&gt;&gt;PL Modelo  (2)'!E9</f>
        <v>102357.46026239997</v>
      </c>
      <c r="G7" s="162">
        <f>+'&gt;&gt;PL Modelo  (2)'!F9</f>
        <v>90436.328959499966</v>
      </c>
      <c r="H7" s="162">
        <f>+'&gt;&gt;PL Modelo  (2)'!G9</f>
        <v>88561.088329066668</v>
      </c>
      <c r="I7" s="162">
        <f>+'&gt;&gt;PL Modelo  (2)'!J9</f>
        <v>92989.142745520017</v>
      </c>
      <c r="J7" s="162">
        <f>+'&gt;&gt;PL Modelo  (2)'!K9</f>
        <v>99591.37188045193</v>
      </c>
      <c r="K7" s="162">
        <f>+'&gt;&gt;PL Modelo  (2)'!L9</f>
        <v>106662.35928396402</v>
      </c>
      <c r="L7" s="162">
        <f>+'&gt;&gt;PL Modelo  (2)'!M9</f>
        <v>114235.38679312549</v>
      </c>
      <c r="M7" s="162">
        <f>+'&gt;&gt;PL Modelo  (2)'!N9</f>
        <v>122346.09925543741</v>
      </c>
    </row>
    <row r="8" spans="3:13" x14ac:dyDescent="0.2">
      <c r="C8" s="357"/>
      <c r="D8" s="162"/>
      <c r="E8" s="162"/>
      <c r="F8" s="162"/>
      <c r="G8" s="162"/>
      <c r="H8" s="162"/>
      <c r="I8" s="162"/>
      <c r="J8" s="162"/>
      <c r="K8" s="162"/>
      <c r="L8" s="162"/>
      <c r="M8" s="162"/>
    </row>
    <row r="9" spans="3:13" x14ac:dyDescent="0.2">
      <c r="C9" s="357"/>
      <c r="D9" s="162"/>
      <c r="E9" s="162"/>
      <c r="F9" s="162"/>
      <c r="G9" s="162"/>
      <c r="H9" s="162"/>
      <c r="I9" s="162"/>
      <c r="J9" s="162"/>
      <c r="K9" s="162"/>
      <c r="L9" s="162"/>
      <c r="M9" s="162"/>
    </row>
    <row r="10" spans="3:13" x14ac:dyDescent="0.2">
      <c r="C10" s="357"/>
      <c r="D10" s="162"/>
      <c r="E10" s="162"/>
      <c r="F10" s="162"/>
      <c r="G10" s="162"/>
      <c r="H10" s="162"/>
      <c r="I10" s="162"/>
      <c r="J10" s="162"/>
      <c r="K10" s="162"/>
      <c r="L10" s="162"/>
      <c r="M10" s="162"/>
    </row>
    <row r="11" spans="3:13" x14ac:dyDescent="0.2">
      <c r="C11" s="357"/>
      <c r="D11" s="162"/>
      <c r="E11" s="162"/>
      <c r="F11" s="162"/>
      <c r="G11" s="162"/>
      <c r="H11" s="162"/>
      <c r="I11" s="162"/>
      <c r="J11" s="162"/>
      <c r="K11" s="162"/>
      <c r="L11" s="162"/>
      <c r="M11" s="162"/>
    </row>
    <row r="12" spans="3:13" x14ac:dyDescent="0.2">
      <c r="C12" s="357"/>
      <c r="D12" s="162"/>
      <c r="E12" s="162"/>
      <c r="F12" s="162"/>
      <c r="G12" s="162"/>
      <c r="H12" s="162"/>
      <c r="I12" s="162"/>
      <c r="J12" s="162"/>
      <c r="K12" s="162"/>
      <c r="L12" s="162"/>
      <c r="M12" s="162"/>
    </row>
    <row r="13" spans="3:13" x14ac:dyDescent="0.2">
      <c r="C13" s="357"/>
      <c r="D13" s="162"/>
      <c r="E13" s="162"/>
      <c r="F13" s="162"/>
      <c r="G13" s="162"/>
      <c r="H13" s="162"/>
      <c r="I13" s="162"/>
      <c r="J13" s="162"/>
      <c r="K13" s="162"/>
      <c r="L13" s="162"/>
      <c r="M13" s="162"/>
    </row>
    <row r="14" spans="3:13" x14ac:dyDescent="0.2">
      <c r="C14" s="357"/>
      <c r="D14" s="162"/>
      <c r="E14" s="162"/>
      <c r="F14" s="162"/>
      <c r="G14" s="162"/>
      <c r="H14" s="162"/>
      <c r="I14" s="162"/>
      <c r="J14" s="162"/>
      <c r="K14" s="162"/>
      <c r="L14" s="162"/>
      <c r="M14" s="162"/>
    </row>
    <row r="15" spans="3:13" x14ac:dyDescent="0.2">
      <c r="C15" s="357"/>
      <c r="D15" s="162"/>
      <c r="E15" s="162"/>
      <c r="F15" s="162"/>
      <c r="G15" s="162"/>
      <c r="H15" s="162"/>
      <c r="I15" s="162"/>
      <c r="J15" s="162"/>
      <c r="K15" s="162"/>
      <c r="L15" s="162"/>
      <c r="M15" s="162"/>
    </row>
    <row r="16" spans="3:13" x14ac:dyDescent="0.2">
      <c r="C16" s="357"/>
      <c r="D16" s="162"/>
      <c r="E16" s="162"/>
      <c r="F16" s="162"/>
      <c r="G16" s="162"/>
      <c r="H16" s="162"/>
      <c r="I16" s="162"/>
      <c r="J16" s="162"/>
      <c r="K16" s="162"/>
      <c r="L16" s="162"/>
      <c r="M16" s="162"/>
    </row>
    <row r="17" spans="4:13" x14ac:dyDescent="0.2">
      <c r="D17" s="162"/>
      <c r="E17" s="162"/>
      <c r="F17" s="162"/>
      <c r="G17" s="162"/>
      <c r="H17" s="162"/>
      <c r="I17" s="162"/>
      <c r="J17" s="162"/>
      <c r="K17" s="162"/>
      <c r="L17" s="162"/>
      <c r="M17" s="162"/>
    </row>
    <row r="18" spans="4:13" x14ac:dyDescent="0.2">
      <c r="D18" s="162"/>
      <c r="E18" s="162"/>
      <c r="F18" s="162"/>
      <c r="G18" s="162"/>
      <c r="H18" s="162"/>
      <c r="I18" s="162"/>
      <c r="J18" s="162"/>
      <c r="K18" s="162"/>
      <c r="L18" s="162"/>
      <c r="M18" s="162"/>
    </row>
    <row r="19" spans="4:13" x14ac:dyDescent="0.2">
      <c r="D19" s="162"/>
      <c r="E19" s="162"/>
      <c r="F19" s="162"/>
      <c r="G19" s="162"/>
      <c r="H19" s="162"/>
      <c r="I19" s="162"/>
      <c r="J19" s="162"/>
      <c r="K19" s="162"/>
      <c r="L19" s="162"/>
      <c r="M19" s="162"/>
    </row>
    <row r="20" spans="4:13" x14ac:dyDescent="0.2">
      <c r="D20" s="162"/>
      <c r="E20" s="162"/>
      <c r="F20" s="162"/>
      <c r="G20" s="162"/>
      <c r="H20" s="162"/>
      <c r="I20" s="162"/>
      <c r="J20" s="162"/>
      <c r="K20" s="162"/>
      <c r="L20" s="162"/>
      <c r="M20" s="162"/>
    </row>
    <row r="21" spans="4:13" x14ac:dyDescent="0.2">
      <c r="D21" s="162"/>
      <c r="E21" s="162"/>
      <c r="F21" s="162"/>
      <c r="G21" s="162"/>
      <c r="H21" s="162"/>
      <c r="I21" s="162"/>
      <c r="J21" s="162"/>
      <c r="K21" s="162"/>
      <c r="L21" s="162"/>
      <c r="M21" s="162"/>
    </row>
    <row r="48" spans="3:13" x14ac:dyDescent="0.2">
      <c r="C48" t="s">
        <v>5</v>
      </c>
      <c r="D48">
        <v>2010</v>
      </c>
      <c r="E48">
        <v>2011</v>
      </c>
      <c r="F48">
        <v>2012</v>
      </c>
      <c r="G48">
        <v>2013</v>
      </c>
      <c r="H48" t="s">
        <v>414</v>
      </c>
      <c r="I48" t="s">
        <v>415</v>
      </c>
      <c r="J48" t="s">
        <v>416</v>
      </c>
      <c r="K48" t="s">
        <v>417</v>
      </c>
      <c r="L48" t="s">
        <v>418</v>
      </c>
      <c r="M48" t="s">
        <v>419</v>
      </c>
    </row>
    <row r="49" spans="3:13" x14ac:dyDescent="0.2">
      <c r="C49" t="s">
        <v>92</v>
      </c>
      <c r="D49" s="162">
        <f>+'&gt;&gt;PL Modelo  (2)'!C13</f>
        <v>103488.32799999999</v>
      </c>
      <c r="E49" s="162">
        <f>+'&gt;&gt;PL Modelo  (2)'!D13</f>
        <v>131159.476</v>
      </c>
      <c r="F49" s="162">
        <f>+'&gt;&gt;PL Modelo  (2)'!E13</f>
        <v>114796.717</v>
      </c>
      <c r="G49" s="162">
        <f>+'&gt;&gt;PL Modelo  (2)'!F13</f>
        <v>104171.929</v>
      </c>
      <c r="H49" s="162">
        <f>+'&gt;&gt;PL Modelo  (2)'!G13</f>
        <v>106578.20739386669</v>
      </c>
      <c r="I49" s="162"/>
      <c r="J49" s="162"/>
      <c r="K49" s="162"/>
      <c r="L49" s="162"/>
      <c r="M49" s="162"/>
    </row>
    <row r="50" spans="3:13" x14ac:dyDescent="0.2">
      <c r="C50" t="s">
        <v>0</v>
      </c>
      <c r="D50" s="162">
        <f>+'&gt;&gt;PL Modelo  (2)'!C20</f>
        <v>88797.001000000004</v>
      </c>
      <c r="E50" s="162">
        <f>+'&gt;&gt;PL Modelo  (2)'!D20</f>
        <v>111018.454</v>
      </c>
      <c r="F50" s="162">
        <f>+'&gt;&gt;PL Modelo  (2)'!E20</f>
        <v>99678.944000000003</v>
      </c>
      <c r="G50" s="162">
        <f>+'&gt;&gt;PL Modelo  (2)'!F20</f>
        <v>92240.869000000006</v>
      </c>
      <c r="H50" s="162">
        <f>+'&gt;&gt;PL Modelo  (2)'!G20</f>
        <v>95246.17467457481</v>
      </c>
      <c r="I50" s="162"/>
      <c r="J50" s="162"/>
      <c r="K50" s="162"/>
      <c r="L50" s="162"/>
      <c r="M50" s="162"/>
    </row>
    <row r="51" spans="3:13" x14ac:dyDescent="0.2">
      <c r="C51" t="s">
        <v>422</v>
      </c>
      <c r="D51" s="162">
        <f>+'&gt;&gt;PL Modelo  (2)'!C46</f>
        <v>13339.17</v>
      </c>
      <c r="E51" s="162">
        <f>+'&gt;&gt;PL Modelo  (2)'!D46</f>
        <v>15181.037</v>
      </c>
      <c r="F51" s="162">
        <f>+'&gt;&gt;PL Modelo  (2)'!E46</f>
        <v>13708.769</v>
      </c>
      <c r="G51" s="162">
        <f>+'&gt;&gt;PL Modelo  (2)'!F46</f>
        <v>13681.503000000001</v>
      </c>
      <c r="H51" s="162">
        <f>+'&gt;&gt;PL Modelo  (2)'!G46</f>
        <v>12308.507106666668</v>
      </c>
      <c r="I51" s="162"/>
      <c r="J51" s="162"/>
      <c r="K51" s="162"/>
      <c r="L51" s="162"/>
      <c r="M51" s="162"/>
    </row>
    <row r="52" spans="3:13" x14ac:dyDescent="0.2">
      <c r="C52" t="s">
        <v>423</v>
      </c>
      <c r="D52" s="162">
        <f>+'&gt;&gt;PL Modelo  (2)'!C48</f>
        <v>1352.1569999999974</v>
      </c>
      <c r="E52" s="162">
        <f>+'&gt;&gt;PL Modelo  (2)'!D48</f>
        <v>4959.9850000000115</v>
      </c>
      <c r="F52" s="162">
        <f>+'&gt;&gt;PL Modelo  (2)'!E48</f>
        <v>1409.0039999999935</v>
      </c>
      <c r="G52" s="162">
        <f>+'&gt;&gt;PL Modelo  (2)'!F48</f>
        <v>-1750.4429999999993</v>
      </c>
      <c r="H52" s="162">
        <f>+'&gt;&gt;PL Modelo  (2)'!G48</f>
        <v>-976.47438737479024</v>
      </c>
      <c r="I52" s="162"/>
      <c r="J52" s="162"/>
      <c r="K52" s="162"/>
      <c r="L52" s="162"/>
      <c r="M52" s="162"/>
    </row>
    <row r="53" spans="3:13" x14ac:dyDescent="0.2">
      <c r="D53" s="162"/>
      <c r="E53" s="162"/>
      <c r="F53" s="162"/>
      <c r="G53" s="162"/>
      <c r="H53" s="162"/>
      <c r="I53" s="162"/>
      <c r="J53" s="162"/>
      <c r="K53" s="162"/>
      <c r="L53" s="162"/>
      <c r="M53" s="162"/>
    </row>
    <row r="54" spans="3:13" x14ac:dyDescent="0.2">
      <c r="D54" s="162"/>
      <c r="E54" s="162"/>
      <c r="F54" s="162"/>
      <c r="G54" s="162"/>
      <c r="H54" s="162"/>
      <c r="I54" s="162"/>
      <c r="J54" s="162"/>
      <c r="K54" s="162"/>
      <c r="L54" s="162"/>
      <c r="M54" s="162"/>
    </row>
    <row r="55" spans="3:13" x14ac:dyDescent="0.2">
      <c r="D55" s="162"/>
      <c r="E55" s="162"/>
      <c r="F55" s="162"/>
      <c r="G55" s="162"/>
      <c r="H55" s="162"/>
      <c r="I55" s="162"/>
      <c r="J55" s="162"/>
      <c r="K55" s="162"/>
      <c r="L55" s="162"/>
      <c r="M55" s="162"/>
    </row>
    <row r="56" spans="3:13" x14ac:dyDescent="0.2">
      <c r="D56" s="162"/>
      <c r="E56" s="162"/>
      <c r="F56" s="162"/>
      <c r="G56" s="162"/>
      <c r="H56" s="162"/>
      <c r="I56" s="162"/>
      <c r="J56" s="162"/>
      <c r="K56" s="162"/>
      <c r="L56" s="162"/>
      <c r="M56" s="162"/>
    </row>
    <row r="57" spans="3:13" x14ac:dyDescent="0.2">
      <c r="D57" s="162"/>
      <c r="E57" s="162"/>
      <c r="F57" s="162"/>
      <c r="G57" s="162"/>
      <c r="H57" s="162"/>
      <c r="I57" s="162"/>
      <c r="J57" s="162"/>
      <c r="K57" s="162"/>
      <c r="L57" s="162"/>
      <c r="M57" s="162"/>
    </row>
    <row r="58" spans="3:13" x14ac:dyDescent="0.2">
      <c r="D58" s="162"/>
      <c r="E58" s="162"/>
      <c r="F58" s="162"/>
      <c r="G58" s="162"/>
      <c r="H58" s="162"/>
      <c r="I58" s="162"/>
      <c r="J58" s="162"/>
      <c r="K58" s="162"/>
      <c r="L58" s="162"/>
      <c r="M58" s="162"/>
    </row>
    <row r="59" spans="3:13" x14ac:dyDescent="0.2">
      <c r="D59" s="162"/>
      <c r="E59" s="162"/>
      <c r="F59" s="162"/>
      <c r="G59" s="162"/>
      <c r="H59" s="162"/>
      <c r="I59" s="162"/>
      <c r="J59" s="162"/>
      <c r="K59" s="162"/>
      <c r="L59" s="162"/>
      <c r="M59" s="162"/>
    </row>
    <row r="103" spans="3:13" x14ac:dyDescent="0.2">
      <c r="C103" t="s">
        <v>5</v>
      </c>
      <c r="D103" t="s">
        <v>415</v>
      </c>
      <c r="E103" t="s">
        <v>416</v>
      </c>
      <c r="F103" t="s">
        <v>417</v>
      </c>
      <c r="G103" t="s">
        <v>418</v>
      </c>
      <c r="H103" t="s">
        <v>419</v>
      </c>
    </row>
    <row r="104" spans="3:13" x14ac:dyDescent="0.2">
      <c r="C104" t="s">
        <v>92</v>
      </c>
      <c r="D104" s="162">
        <f>+'&gt;&gt;PL Modelo  (2)'!J13</f>
        <v>112038.49913546669</v>
      </c>
      <c r="E104" s="162">
        <f>+'&gt;&gt;PL Modelo  (2)'!K13</f>
        <v>122907.78410174666</v>
      </c>
      <c r="F104" s="162">
        <f>+'&gt;&gt;PL Modelo  (2)'!L13</f>
        <v>135201.64784282877</v>
      </c>
      <c r="G104" s="162">
        <f>+'&gt;&gt;PL Modelo  (2)'!M13</f>
        <v>149167.47598917593</v>
      </c>
      <c r="H104" s="162">
        <f>+'&gt;&gt;PL Modelo  (2)'!N13</f>
        <v>165102.97643140313</v>
      </c>
      <c r="I104" s="162"/>
      <c r="J104" s="162"/>
      <c r="K104" s="162"/>
      <c r="L104" s="162"/>
      <c r="M104" s="162"/>
    </row>
    <row r="105" spans="3:13" x14ac:dyDescent="0.2">
      <c r="C105" t="s">
        <v>0</v>
      </c>
      <c r="D105" s="162">
        <f>+'&gt;&gt;PL Modelo  (2)'!J20</f>
        <v>99639.681586560386</v>
      </c>
      <c r="E105" s="162">
        <f>+'&gt;&gt;PL Modelo  (2)'!K20</f>
        <v>106848.77624324</v>
      </c>
      <c r="F105" s="162">
        <f>+'&gt;&gt;PL Modelo  (2)'!L20</f>
        <v>116012.38522570617</v>
      </c>
      <c r="G105" s="162">
        <f>+'&gt;&gt;PL Modelo  (2)'!M20</f>
        <v>126927.895822352</v>
      </c>
      <c r="H105" s="162">
        <f>+'&gt;&gt;PL Modelo  (2)'!N20</f>
        <v>139277.81902716341</v>
      </c>
      <c r="I105" s="162"/>
      <c r="J105" s="162"/>
      <c r="K105" s="162"/>
      <c r="L105" s="162"/>
      <c r="M105" s="162"/>
    </row>
    <row r="106" spans="3:13" x14ac:dyDescent="0.2">
      <c r="C106" t="s">
        <v>422</v>
      </c>
      <c r="D106" s="162">
        <f>+'&gt;&gt;PL Modelo  (2)'!J46</f>
        <v>12481.961583768711</v>
      </c>
      <c r="E106" s="162">
        <f>+'&gt;&gt;PL Modelo  (2)'!K46</f>
        <v>13508.795611288919</v>
      </c>
      <c r="F106" s="162">
        <f>+'&gt;&gt;PL Modelo  (2)'!L46</f>
        <v>14666.303461828231</v>
      </c>
      <c r="G106" s="162">
        <f>+'&gt;&gt;PL Modelo  (2)'!M46</f>
        <v>15977.09720833254</v>
      </c>
      <c r="H106" s="162">
        <f>+'&gt;&gt;PL Modelo  (2)'!N46</f>
        <v>17468.387159738406</v>
      </c>
      <c r="I106" s="162"/>
      <c r="J106" s="162"/>
      <c r="K106" s="162"/>
      <c r="L106" s="162"/>
      <c r="M106" s="162"/>
    </row>
    <row r="107" spans="3:13" x14ac:dyDescent="0.2">
      <c r="C107" t="s">
        <v>423</v>
      </c>
      <c r="D107" s="162">
        <f>+'&gt;&gt;PL Modelo  (2)'!J48</f>
        <v>-83.144034862403714</v>
      </c>
      <c r="E107" s="162">
        <f>+'&gt;&gt;PL Modelo  (2)'!K48</f>
        <v>2550.2122472177289</v>
      </c>
      <c r="F107" s="162">
        <f>+'&gt;&gt;PL Modelo  (2)'!L48</f>
        <v>4522.9591552943657</v>
      </c>
      <c r="G107" s="162">
        <f>+'&gt;&gt;PL Modelo  (2)'!M48</f>
        <v>6262.4829584913969</v>
      </c>
      <c r="H107" s="162">
        <f>+'&gt;&gt;PL Modelo  (2)'!N48</f>
        <v>8356.770244501331</v>
      </c>
      <c r="I107" s="162"/>
      <c r="J107" s="162"/>
      <c r="K107" s="162"/>
      <c r="L107" s="162"/>
      <c r="M107" s="162"/>
    </row>
    <row r="108" spans="3:13" x14ac:dyDescent="0.2">
      <c r="D108" s="162"/>
      <c r="E108" s="162"/>
      <c r="F108" s="162"/>
      <c r="G108" s="162"/>
      <c r="H108" s="162"/>
      <c r="I108" s="162"/>
      <c r="J108" s="162"/>
      <c r="K108" s="162"/>
      <c r="L108" s="162"/>
      <c r="M108" s="162"/>
    </row>
    <row r="109" spans="3:13" x14ac:dyDescent="0.2">
      <c r="D109" s="162"/>
      <c r="E109" s="162"/>
      <c r="F109" s="162"/>
      <c r="G109" s="162"/>
      <c r="H109" s="162"/>
      <c r="I109" s="162"/>
      <c r="J109" s="162"/>
      <c r="K109" s="162"/>
      <c r="L109" s="162"/>
      <c r="M109" s="162"/>
    </row>
    <row r="110" spans="3:13" x14ac:dyDescent="0.2">
      <c r="D110" s="162"/>
      <c r="E110" s="162"/>
      <c r="F110" s="162"/>
      <c r="G110" s="162"/>
      <c r="H110" s="162"/>
      <c r="I110" s="162"/>
      <c r="J110" s="162"/>
      <c r="K110" s="162"/>
      <c r="L110" s="162"/>
      <c r="M110" s="162"/>
    </row>
    <row r="111" spans="3:13" x14ac:dyDescent="0.2">
      <c r="D111" s="162"/>
      <c r="E111" s="162"/>
      <c r="F111" s="162"/>
      <c r="G111" s="162"/>
      <c r="H111" s="162"/>
      <c r="I111" s="162"/>
      <c r="J111" s="162"/>
      <c r="K111" s="162"/>
      <c r="L111" s="162"/>
      <c r="M111" s="162"/>
    </row>
    <row r="112" spans="3:13" x14ac:dyDescent="0.2">
      <c r="D112" s="162"/>
      <c r="E112" s="162"/>
      <c r="F112" s="162"/>
      <c r="G112" s="162"/>
      <c r="H112" s="162"/>
      <c r="I112" s="162"/>
      <c r="J112" s="162"/>
      <c r="K112" s="162"/>
      <c r="L112" s="162"/>
      <c r="M112" s="162"/>
    </row>
    <row r="113" spans="4:13" x14ac:dyDescent="0.2">
      <c r="D113" s="162"/>
      <c r="E113" s="162"/>
      <c r="F113" s="162"/>
      <c r="G113" s="162"/>
      <c r="H113" s="162"/>
      <c r="I113" s="162"/>
      <c r="J113" s="162"/>
      <c r="K113" s="162"/>
      <c r="L113" s="162"/>
      <c r="M113" s="162"/>
    </row>
    <row r="114" spans="4:13" x14ac:dyDescent="0.2">
      <c r="D114" s="162"/>
      <c r="E114" s="162"/>
      <c r="F114" s="162"/>
      <c r="G114" s="162"/>
      <c r="H114" s="162"/>
      <c r="I114" s="162"/>
      <c r="J114" s="162"/>
      <c r="K114" s="162"/>
      <c r="L114" s="162"/>
      <c r="M114" s="1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2:H68"/>
  <sheetViews>
    <sheetView zoomScaleNormal="100" workbookViewId="0">
      <selection activeCell="A41" sqref="A41"/>
    </sheetView>
  </sheetViews>
  <sheetFormatPr baseColWidth="10" defaultRowHeight="14.25" x14ac:dyDescent="0.2"/>
  <cols>
    <col min="1" max="1" width="40.25" bestFit="1" customWidth="1"/>
    <col min="2" max="2" width="13" bestFit="1" customWidth="1"/>
    <col min="3" max="5" width="12.75" customWidth="1"/>
    <col min="7" max="7" width="38.375" bestFit="1" customWidth="1"/>
    <col min="8" max="8" width="25.875" customWidth="1"/>
  </cols>
  <sheetData>
    <row r="2" spans="1:8" x14ac:dyDescent="0.2">
      <c r="A2" t="s">
        <v>171</v>
      </c>
      <c r="G2" s="413" t="s">
        <v>385</v>
      </c>
      <c r="H2" s="414"/>
    </row>
    <row r="4" spans="1:8" x14ac:dyDescent="0.2">
      <c r="A4" s="289" t="s">
        <v>172</v>
      </c>
      <c r="B4" s="83"/>
      <c r="C4" s="83"/>
      <c r="D4" s="83"/>
      <c r="E4" s="83"/>
      <c r="H4" s="83"/>
    </row>
    <row r="5" spans="1:8" x14ac:dyDescent="0.2">
      <c r="B5" s="83"/>
      <c r="C5" s="83"/>
      <c r="D5" s="83"/>
      <c r="E5" s="83"/>
      <c r="G5" t="s">
        <v>267</v>
      </c>
      <c r="H5" s="83">
        <v>79865693.840000004</v>
      </c>
    </row>
    <row r="6" spans="1:8" x14ac:dyDescent="0.2">
      <c r="A6" s="290" t="s">
        <v>268</v>
      </c>
      <c r="B6" s="83"/>
      <c r="C6" s="83"/>
      <c r="D6" s="83"/>
      <c r="E6" s="83"/>
      <c r="H6" s="83"/>
    </row>
    <row r="7" spans="1:8" x14ac:dyDescent="0.2">
      <c r="B7" s="83"/>
      <c r="C7" s="83"/>
      <c r="D7" s="83"/>
      <c r="E7" s="83"/>
      <c r="G7" t="s">
        <v>269</v>
      </c>
      <c r="H7" s="291">
        <v>72230475.620000005</v>
      </c>
    </row>
    <row r="8" spans="1:8" x14ac:dyDescent="0.2">
      <c r="A8" s="76" t="s">
        <v>270</v>
      </c>
      <c r="B8" s="83">
        <v>4672258.78</v>
      </c>
      <c r="C8" s="83"/>
      <c r="D8" s="83"/>
      <c r="E8" s="83"/>
      <c r="H8" s="83"/>
    </row>
    <row r="9" spans="1:8" x14ac:dyDescent="0.2">
      <c r="A9" t="s">
        <v>271</v>
      </c>
      <c r="B9" s="83">
        <v>16014888.310000001</v>
      </c>
      <c r="C9" s="83"/>
      <c r="D9" s="83"/>
      <c r="E9" s="83"/>
      <c r="G9" s="290" t="s">
        <v>1</v>
      </c>
      <c r="H9" s="83">
        <f>+H5-H7</f>
        <v>7635218.2199999988</v>
      </c>
    </row>
    <row r="10" spans="1:8" x14ac:dyDescent="0.2">
      <c r="A10" t="s">
        <v>174</v>
      </c>
      <c r="B10" s="83">
        <v>302336.3</v>
      </c>
      <c r="C10" s="83"/>
      <c r="D10" s="83"/>
      <c r="E10" s="83"/>
      <c r="H10" s="83"/>
    </row>
    <row r="11" spans="1:8" x14ac:dyDescent="0.2">
      <c r="A11" t="s">
        <v>272</v>
      </c>
      <c r="B11" s="83">
        <v>53803.19</v>
      </c>
      <c r="C11" s="83"/>
      <c r="D11" s="83"/>
      <c r="E11" s="83"/>
      <c r="G11" t="s">
        <v>273</v>
      </c>
      <c r="H11" s="83"/>
    </row>
    <row r="12" spans="1:8" x14ac:dyDescent="0.2">
      <c r="A12" t="s">
        <v>274</v>
      </c>
      <c r="B12" s="83">
        <v>11471136.880000001</v>
      </c>
      <c r="C12" s="83"/>
      <c r="D12" s="83"/>
      <c r="E12" s="83"/>
      <c r="H12" s="83"/>
    </row>
    <row r="13" spans="1:8" x14ac:dyDescent="0.2">
      <c r="A13" t="s">
        <v>386</v>
      </c>
      <c r="B13" s="83">
        <v>567227.63</v>
      </c>
      <c r="G13" t="s">
        <v>276</v>
      </c>
      <c r="H13" s="83">
        <v>5711605.8399999999</v>
      </c>
    </row>
    <row r="14" spans="1:8" ht="21" customHeight="1" x14ac:dyDescent="0.2">
      <c r="A14" s="76" t="s">
        <v>275</v>
      </c>
      <c r="B14" s="83">
        <v>2045058.29</v>
      </c>
      <c r="C14" s="83"/>
      <c r="D14" s="83"/>
      <c r="E14" s="83"/>
      <c r="G14" t="s">
        <v>136</v>
      </c>
      <c r="H14" s="291">
        <v>3519774.49</v>
      </c>
    </row>
    <row r="15" spans="1:8" x14ac:dyDescent="0.2">
      <c r="A15" s="76" t="s">
        <v>277</v>
      </c>
      <c r="B15" s="83">
        <v>1353620.5899999999</v>
      </c>
      <c r="C15" s="83"/>
      <c r="D15" s="83"/>
      <c r="E15" s="83"/>
      <c r="H15" s="83"/>
    </row>
    <row r="16" spans="1:8" x14ac:dyDescent="0.2">
      <c r="A16" t="s">
        <v>278</v>
      </c>
      <c r="B16" s="83">
        <v>500</v>
      </c>
      <c r="H16" s="83">
        <f>SUM(H13:H15)</f>
        <v>9231380.3300000001</v>
      </c>
    </row>
    <row r="17" spans="1:8" x14ac:dyDescent="0.2">
      <c r="A17" t="s">
        <v>279</v>
      </c>
      <c r="B17" s="83"/>
      <c r="C17" s="83">
        <f>SUM(B8:B16)</f>
        <v>36480829.969999999</v>
      </c>
      <c r="D17" s="83"/>
      <c r="E17" s="83"/>
      <c r="H17" s="83"/>
    </row>
    <row r="18" spans="1:8" x14ac:dyDescent="0.2">
      <c r="B18" s="83"/>
      <c r="C18" s="83"/>
      <c r="D18" s="83"/>
      <c r="E18" s="83"/>
      <c r="G18" t="s">
        <v>281</v>
      </c>
      <c r="H18" s="83">
        <f>+H9-H16</f>
        <v>-1596162.1100000013</v>
      </c>
    </row>
    <row r="19" spans="1:8" x14ac:dyDescent="0.2">
      <c r="A19" s="290" t="s">
        <v>280</v>
      </c>
      <c r="B19" s="83"/>
      <c r="C19" s="83"/>
      <c r="D19" s="83" t="s">
        <v>382</v>
      </c>
      <c r="E19" s="83" t="s">
        <v>383</v>
      </c>
      <c r="H19" s="83"/>
    </row>
    <row r="20" spans="1:8" x14ac:dyDescent="0.2">
      <c r="A20" t="s">
        <v>178</v>
      </c>
      <c r="B20" s="83">
        <v>3036190.61</v>
      </c>
      <c r="C20" s="83"/>
      <c r="D20" s="83">
        <v>3035232</v>
      </c>
      <c r="E20" s="83">
        <f>+B20-D20</f>
        <v>958.60999999986961</v>
      </c>
      <c r="H20" s="83"/>
    </row>
    <row r="21" spans="1:8" x14ac:dyDescent="0.2">
      <c r="A21" t="s">
        <v>282</v>
      </c>
      <c r="B21" s="83">
        <v>11367870.699999999</v>
      </c>
      <c r="C21" s="83"/>
      <c r="D21" s="83">
        <v>11359738</v>
      </c>
      <c r="E21" s="83">
        <f>+B21-D21</f>
        <v>8132.6999999992549</v>
      </c>
      <c r="G21" t="s">
        <v>284</v>
      </c>
      <c r="H21" s="292">
        <v>-223901.79</v>
      </c>
    </row>
    <row r="22" spans="1:8" x14ac:dyDescent="0.2">
      <c r="A22" t="s">
        <v>283</v>
      </c>
      <c r="B22" s="83">
        <v>-11367870.700000001</v>
      </c>
      <c r="C22" s="83"/>
      <c r="D22" s="83"/>
      <c r="E22" s="83">
        <v>-8132.74</v>
      </c>
      <c r="H22" s="83"/>
    </row>
    <row r="23" spans="1:8" x14ac:dyDescent="0.2">
      <c r="A23" t="s">
        <v>285</v>
      </c>
      <c r="B23" s="83">
        <v>8253632.0499999998</v>
      </c>
      <c r="C23" s="83"/>
      <c r="D23" s="83">
        <v>5413140</v>
      </c>
      <c r="E23" s="83">
        <f>+B23-D23</f>
        <v>2840492.05</v>
      </c>
      <c r="G23" t="s">
        <v>287</v>
      </c>
      <c r="H23" s="83"/>
    </row>
    <row r="24" spans="1:8" x14ac:dyDescent="0.2">
      <c r="A24" t="s">
        <v>286</v>
      </c>
      <c r="B24" s="83">
        <v>-7588981.4699999997</v>
      </c>
      <c r="C24" s="83"/>
      <c r="D24" s="83"/>
      <c r="E24" s="83">
        <v>-2353815.37</v>
      </c>
      <c r="G24" t="s">
        <v>288</v>
      </c>
      <c r="H24" s="83">
        <v>55094.04</v>
      </c>
    </row>
    <row r="25" spans="1:8" x14ac:dyDescent="0.2">
      <c r="A25" t="s">
        <v>180</v>
      </c>
      <c r="B25" s="83">
        <v>1999589.23</v>
      </c>
      <c r="C25" s="83"/>
      <c r="D25" s="83">
        <v>877571</v>
      </c>
      <c r="E25" s="83">
        <f>+B25-D25</f>
        <v>1122018.23</v>
      </c>
      <c r="G25" t="s">
        <v>290</v>
      </c>
      <c r="H25" s="291">
        <v>-101081.95</v>
      </c>
    </row>
    <row r="26" spans="1:8" x14ac:dyDescent="0.2">
      <c r="A26" t="s">
        <v>289</v>
      </c>
      <c r="B26" s="83">
        <v>-1981756.16</v>
      </c>
      <c r="C26" s="83"/>
      <c r="D26" s="83"/>
      <c r="E26" s="83">
        <v>-1107588.55</v>
      </c>
      <c r="H26" s="83">
        <f>SUM(H24:H25)</f>
        <v>-45987.909999999996</v>
      </c>
    </row>
    <row r="27" spans="1:8" x14ac:dyDescent="0.2">
      <c r="A27" t="s">
        <v>291</v>
      </c>
      <c r="B27" s="83">
        <v>7201003.4299999997</v>
      </c>
      <c r="C27" s="83"/>
      <c r="D27" s="83">
        <v>2349113</v>
      </c>
      <c r="E27" s="83">
        <f>+B27-D27</f>
        <v>4851890.43</v>
      </c>
      <c r="H27" s="83"/>
    </row>
    <row r="28" spans="1:8" ht="15" thickBot="1" x14ac:dyDescent="0.25">
      <c r="A28" t="s">
        <v>292</v>
      </c>
      <c r="B28" s="83">
        <v>-6888841.3300000001</v>
      </c>
      <c r="C28" s="83">
        <f>SUM(B20:B28)</f>
        <v>4030836.3599999957</v>
      </c>
      <c r="E28">
        <v>-4644887.41</v>
      </c>
      <c r="G28" s="290" t="s">
        <v>293</v>
      </c>
      <c r="H28" s="293">
        <f>+H18+H21+H26</f>
        <v>-1866051.8100000012</v>
      </c>
    </row>
    <row r="29" spans="1:8" ht="15" thickTop="1" x14ac:dyDescent="0.2">
      <c r="D29" s="83">
        <v>20523367.82</v>
      </c>
      <c r="E29" s="83">
        <f>+SUM(E20:E27)+E22+E24+E26</f>
        <v>1884418.6999999981</v>
      </c>
      <c r="G29" s="290"/>
      <c r="H29" s="292"/>
    </row>
    <row r="30" spans="1:8" x14ac:dyDescent="0.2">
      <c r="B30" t="s">
        <v>384</v>
      </c>
      <c r="C30" s="83">
        <f>+B22+B24+B26+B28</f>
        <v>-27827449.660000004</v>
      </c>
      <c r="D30" s="83">
        <v>-17227834.140000001</v>
      </c>
      <c r="E30" s="83">
        <f>+E22+E24+E26+E28</f>
        <v>-8114424.0700000003</v>
      </c>
      <c r="G30" s="290"/>
      <c r="H30" s="292"/>
    </row>
    <row r="31" spans="1:8" x14ac:dyDescent="0.2">
      <c r="H31" s="83"/>
    </row>
    <row r="32" spans="1:8" x14ac:dyDescent="0.2">
      <c r="A32" t="s">
        <v>181</v>
      </c>
      <c r="B32" s="83">
        <v>8815</v>
      </c>
      <c r="C32" s="83"/>
      <c r="D32" s="83"/>
      <c r="E32" s="83"/>
      <c r="G32" s="290"/>
      <c r="H32" s="294"/>
    </row>
    <row r="33" spans="1:5" x14ac:dyDescent="0.2">
      <c r="A33" t="s">
        <v>294</v>
      </c>
      <c r="B33" s="83">
        <v>5999489.6299999999</v>
      </c>
      <c r="C33" s="83"/>
      <c r="D33" s="83">
        <v>5738416.5199999996</v>
      </c>
      <c r="E33" s="83">
        <f>+B33-D33</f>
        <v>261073.11000000034</v>
      </c>
    </row>
    <row r="34" spans="1:5" x14ac:dyDescent="0.2">
      <c r="A34" t="s">
        <v>295</v>
      </c>
      <c r="B34" s="83">
        <v>-5754120.0900000008</v>
      </c>
      <c r="C34" s="83"/>
      <c r="D34" s="83">
        <v>-5688659.2800000003</v>
      </c>
      <c r="E34" s="83">
        <v>-66435.38</v>
      </c>
    </row>
    <row r="35" spans="1:5" x14ac:dyDescent="0.2">
      <c r="A35" t="s">
        <v>296</v>
      </c>
      <c r="B35" s="83">
        <v>150000</v>
      </c>
      <c r="C35" s="83"/>
      <c r="D35" s="83"/>
      <c r="E35" s="83"/>
    </row>
    <row r="36" spans="1:5" x14ac:dyDescent="0.2">
      <c r="A36" t="s">
        <v>297</v>
      </c>
      <c r="B36" s="83">
        <v>-95000</v>
      </c>
      <c r="C36" s="83">
        <f>+B35*0.05</f>
        <v>7500</v>
      </c>
      <c r="D36" s="83"/>
      <c r="E36" s="83"/>
    </row>
    <row r="37" spans="1:5" x14ac:dyDescent="0.2">
      <c r="A37" t="s">
        <v>177</v>
      </c>
      <c r="B37" s="83">
        <f>191377.28+93234.76</f>
        <v>284612.03999999998</v>
      </c>
      <c r="C37" s="83">
        <f>+C36/12*8</f>
        <v>5000</v>
      </c>
      <c r="D37" s="83"/>
      <c r="E37" s="83"/>
    </row>
    <row r="38" spans="1:5" x14ac:dyDescent="0.2">
      <c r="A38" t="s">
        <v>298</v>
      </c>
      <c r="B38" s="83">
        <v>294305.09000000003</v>
      </c>
      <c r="C38" s="83"/>
      <c r="D38" s="83"/>
      <c r="E38" s="83"/>
    </row>
    <row r="39" spans="1:5" x14ac:dyDescent="0.2">
      <c r="A39" s="290" t="s">
        <v>299</v>
      </c>
      <c r="B39" s="83"/>
      <c r="C39" s="83">
        <f>SUM(B20:B38)</f>
        <v>4918938.0299999937</v>
      </c>
      <c r="D39" s="83"/>
      <c r="E39" s="83"/>
    </row>
    <row r="40" spans="1:5" x14ac:dyDescent="0.2">
      <c r="A40" s="290"/>
      <c r="B40" s="83"/>
      <c r="C40" s="83"/>
      <c r="D40" s="83"/>
      <c r="E40" s="83"/>
    </row>
    <row r="41" spans="1:5" x14ac:dyDescent="0.2">
      <c r="A41" s="290" t="s">
        <v>300</v>
      </c>
      <c r="B41" s="83"/>
      <c r="C41" s="83"/>
      <c r="D41" s="83"/>
      <c r="E41" s="83"/>
    </row>
    <row r="42" spans="1:5" x14ac:dyDescent="0.2">
      <c r="B42" s="83"/>
      <c r="C42" s="83"/>
      <c r="D42" s="83"/>
      <c r="E42" s="83"/>
    </row>
    <row r="43" spans="1:5" x14ac:dyDescent="0.2">
      <c r="A43" s="290" t="s">
        <v>301</v>
      </c>
      <c r="B43" s="83"/>
      <c r="C43" s="83"/>
      <c r="D43" s="83"/>
      <c r="E43" s="83"/>
    </row>
    <row r="44" spans="1:5" x14ac:dyDescent="0.2">
      <c r="B44" s="83"/>
      <c r="C44" s="83"/>
      <c r="D44" s="83"/>
      <c r="E44" s="83"/>
    </row>
    <row r="45" spans="1:5" x14ac:dyDescent="0.2">
      <c r="A45" t="s">
        <v>173</v>
      </c>
      <c r="B45" s="295">
        <v>217115.95</v>
      </c>
      <c r="C45" s="83"/>
      <c r="D45" s="83"/>
      <c r="E45" s="83"/>
    </row>
    <row r="46" spans="1:5" x14ac:dyDescent="0.2">
      <c r="A46" t="s">
        <v>175</v>
      </c>
      <c r="B46" s="83">
        <v>14479966.91</v>
      </c>
      <c r="C46" s="83"/>
      <c r="D46" s="83"/>
      <c r="E46" s="83"/>
    </row>
    <row r="47" spans="1:5" x14ac:dyDescent="0.2">
      <c r="A47" t="s">
        <v>176</v>
      </c>
      <c r="B47" s="83">
        <v>260023.17</v>
      </c>
      <c r="C47" s="83"/>
      <c r="D47" s="83"/>
      <c r="E47" s="83"/>
    </row>
    <row r="48" spans="1:5" x14ac:dyDescent="0.2">
      <c r="A48" t="s">
        <v>302</v>
      </c>
      <c r="B48" s="83">
        <v>3304178.13</v>
      </c>
      <c r="C48" s="83"/>
      <c r="D48" s="83"/>
      <c r="E48" s="83"/>
    </row>
    <row r="49" spans="1:5" x14ac:dyDescent="0.2">
      <c r="A49" s="76" t="s">
        <v>303</v>
      </c>
      <c r="B49" s="83"/>
      <c r="C49" s="83"/>
      <c r="D49" s="83"/>
      <c r="E49" s="83"/>
    </row>
    <row r="50" spans="1:5" x14ac:dyDescent="0.2">
      <c r="A50" t="s">
        <v>304</v>
      </c>
      <c r="B50" s="83">
        <v>3585.29</v>
      </c>
      <c r="C50" s="83"/>
      <c r="D50" s="83"/>
      <c r="E50" s="83"/>
    </row>
    <row r="51" spans="1:5" x14ac:dyDescent="0.2">
      <c r="A51" t="s">
        <v>305</v>
      </c>
      <c r="B51" s="83">
        <v>68810.37</v>
      </c>
    </row>
    <row r="52" spans="1:5" x14ac:dyDescent="0.2">
      <c r="A52" s="290" t="s">
        <v>306</v>
      </c>
      <c r="B52" s="83"/>
      <c r="C52" s="83">
        <f>SUM(B45:B51)</f>
        <v>18333679.82</v>
      </c>
      <c r="D52" s="83"/>
      <c r="E52" s="83"/>
    </row>
    <row r="55" spans="1:5" x14ac:dyDescent="0.2">
      <c r="A55" s="76"/>
      <c r="B55" s="83"/>
      <c r="C55" s="83"/>
      <c r="D55" s="83"/>
      <c r="E55" s="83"/>
    </row>
    <row r="56" spans="1:5" x14ac:dyDescent="0.2">
      <c r="A56" s="290" t="s">
        <v>307</v>
      </c>
      <c r="B56" s="83"/>
      <c r="C56" s="83"/>
      <c r="D56" s="83"/>
      <c r="E56" s="83"/>
    </row>
    <row r="57" spans="1:5" x14ac:dyDescent="0.2">
      <c r="B57" s="83"/>
      <c r="C57" s="83"/>
      <c r="D57" s="83"/>
      <c r="E57" s="83"/>
    </row>
    <row r="58" spans="1:5" x14ac:dyDescent="0.2">
      <c r="A58" t="s">
        <v>308</v>
      </c>
      <c r="B58" s="83">
        <v>1260000</v>
      </c>
      <c r="C58" s="83"/>
      <c r="D58" s="83"/>
      <c r="E58" s="83"/>
    </row>
    <row r="59" spans="1:5" x14ac:dyDescent="0.2">
      <c r="A59" t="s">
        <v>179</v>
      </c>
      <c r="B59" s="83">
        <v>252000</v>
      </c>
      <c r="C59" s="83"/>
      <c r="D59" s="83"/>
      <c r="E59" s="83"/>
    </row>
    <row r="60" spans="1:5" x14ac:dyDescent="0.2">
      <c r="A60" t="s">
        <v>309</v>
      </c>
      <c r="B60" s="83">
        <v>19417307.859999999</v>
      </c>
      <c r="C60" s="83"/>
      <c r="D60" s="83"/>
      <c r="E60" s="83"/>
    </row>
    <row r="61" spans="1:5" x14ac:dyDescent="0.2">
      <c r="A61" s="76" t="s">
        <v>310</v>
      </c>
      <c r="B61" s="83">
        <v>3974998.11</v>
      </c>
      <c r="C61" s="83"/>
      <c r="D61" s="83"/>
      <c r="E61" s="83"/>
    </row>
    <row r="62" spans="1:5" x14ac:dyDescent="0.2">
      <c r="A62" s="76" t="s">
        <v>311</v>
      </c>
      <c r="B62" s="83"/>
      <c r="C62" s="83"/>
      <c r="D62" s="83"/>
      <c r="E62" s="83"/>
    </row>
    <row r="63" spans="1:5" x14ac:dyDescent="0.2">
      <c r="A63" t="s">
        <v>312</v>
      </c>
      <c r="B63" s="291">
        <v>-1622671.63</v>
      </c>
      <c r="C63" s="83"/>
      <c r="D63" s="83"/>
      <c r="E63" s="83"/>
    </row>
    <row r="64" spans="1:5" x14ac:dyDescent="0.2">
      <c r="A64" s="290" t="s">
        <v>313</v>
      </c>
      <c r="B64" s="83"/>
      <c r="C64" s="83">
        <f>SUM(B58:B63)</f>
        <v>23281634.34</v>
      </c>
      <c r="D64" s="83"/>
      <c r="E64" s="83"/>
    </row>
    <row r="65" spans="1:5" x14ac:dyDescent="0.2">
      <c r="B65" s="83"/>
      <c r="C65" s="83"/>
      <c r="D65" s="83"/>
      <c r="E65" s="83"/>
    </row>
    <row r="66" spans="1:5" x14ac:dyDescent="0.2">
      <c r="A66" s="290" t="s">
        <v>314</v>
      </c>
      <c r="B66" s="83"/>
      <c r="C66" s="83">
        <f>+C64+C52</f>
        <v>41615314.159999996</v>
      </c>
      <c r="D66" s="83"/>
      <c r="E66" s="83"/>
    </row>
    <row r="67" spans="1:5" x14ac:dyDescent="0.2">
      <c r="A67" s="290"/>
      <c r="B67" s="83"/>
      <c r="C67" s="83"/>
      <c r="D67" s="83"/>
      <c r="E67" s="83"/>
    </row>
    <row r="68" spans="1:5" x14ac:dyDescent="0.2">
      <c r="A68" s="290"/>
      <c r="B68" s="83"/>
      <c r="C68" s="83"/>
      <c r="D68" s="83"/>
      <c r="E68" s="83"/>
    </row>
  </sheetData>
  <mergeCells count="1">
    <mergeCell ref="G2:H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AA35"/>
  <sheetViews>
    <sheetView showGridLines="0" workbookViewId="0">
      <pane xSplit="3" ySplit="5" topLeftCell="F6" activePane="bottomRight" state="frozen"/>
      <selection pane="topRight" activeCell="D1" sqref="D1"/>
      <selection pane="bottomLeft" activeCell="A6" sqref="A6"/>
      <selection pane="bottomRight" activeCell="H38" sqref="H38"/>
    </sheetView>
  </sheetViews>
  <sheetFormatPr baseColWidth="10" defaultRowHeight="14.25" outlineLevelCol="1" x14ac:dyDescent="0.2"/>
  <cols>
    <col min="1" max="1" width="2.625" customWidth="1"/>
    <col min="2" max="2" width="20.375" customWidth="1"/>
    <col min="3" max="3" width="5.75" bestFit="1" customWidth="1"/>
    <col min="4" max="4" width="12.125" customWidth="1" outlineLevel="1"/>
    <col min="5" max="5" width="2.125" customWidth="1" outlineLevel="1"/>
    <col min="6" max="6" width="12.125" customWidth="1" outlineLevel="1"/>
    <col min="7" max="7" width="6.625" customWidth="1" outlineLevel="1"/>
    <col min="8" max="8" width="12.125" customWidth="1" outlineLevel="1"/>
    <col min="9" max="9" width="6.625" customWidth="1" outlineLevel="1"/>
    <col min="10" max="10" width="12" customWidth="1" outlineLevel="1"/>
    <col min="11" max="11" width="6.625" customWidth="1" outlineLevel="1"/>
    <col min="12" max="12" width="12" customWidth="1" outlineLevel="1"/>
    <col min="13" max="13" width="6.625" customWidth="1" outlineLevel="1"/>
    <col min="14" max="14" width="12.5" customWidth="1" outlineLevel="1"/>
    <col min="15" max="15" width="6.625" customWidth="1" outlineLevel="1"/>
    <col min="16" max="16" width="7.25" customWidth="1"/>
    <col min="17" max="17" width="12" bestFit="1" customWidth="1" outlineLevel="1"/>
    <col min="18" max="18" width="6" bestFit="1" customWidth="1" outlineLevel="1"/>
    <col min="19" max="19" width="12.25" bestFit="1" customWidth="1" outlineLevel="1"/>
    <col min="20" max="20" width="6" bestFit="1" customWidth="1" outlineLevel="1"/>
    <col min="21" max="21" width="12.25" bestFit="1" customWidth="1" outlineLevel="1"/>
    <col min="22" max="22" width="6" bestFit="1" customWidth="1" outlineLevel="1"/>
    <col min="23" max="23" width="12.25" bestFit="1" customWidth="1" outlineLevel="1"/>
    <col min="24" max="24" width="6" bestFit="1" customWidth="1" outlineLevel="1"/>
    <col min="25" max="25" width="12.25" bestFit="1" customWidth="1" outlineLevel="1"/>
    <col min="26" max="26" width="6.625" customWidth="1" outlineLevel="1"/>
  </cols>
  <sheetData>
    <row r="1" spans="2:27" s="191" customFormat="1" ht="15.75" x14ac:dyDescent="0.25">
      <c r="B1" s="188" t="str">
        <f>+'&gt;&gt;LP Modelo '!B1</f>
        <v>Lubricantes de la Peninsula, SA de CV</v>
      </c>
      <c r="C1" s="188"/>
    </row>
    <row r="2" spans="2:27" s="191" customFormat="1" ht="15.75" x14ac:dyDescent="0.25">
      <c r="B2" s="188" t="str">
        <f>+'&gt;&gt;LP Modelo '!B2</f>
        <v>LP</v>
      </c>
      <c r="C2" s="188"/>
    </row>
    <row r="3" spans="2:27" s="191" customFormat="1" ht="12.6" customHeight="1" x14ac:dyDescent="0.2">
      <c r="B3" s="190" t="s">
        <v>401</v>
      </c>
      <c r="C3" s="156"/>
    </row>
    <row r="5" spans="2:27" ht="15" x14ac:dyDescent="0.25">
      <c r="B5" s="103" t="s">
        <v>228</v>
      </c>
      <c r="C5" s="103"/>
      <c r="D5" s="56"/>
      <c r="E5" s="56"/>
      <c r="F5" s="56"/>
      <c r="G5" s="56"/>
      <c r="H5" s="56"/>
      <c r="I5" s="56"/>
      <c r="J5" s="56"/>
      <c r="K5" s="56"/>
      <c r="L5" s="56"/>
      <c r="M5" s="56"/>
      <c r="N5" s="56"/>
      <c r="O5" s="56"/>
      <c r="P5" s="56"/>
      <c r="Q5" s="56"/>
      <c r="R5" s="56"/>
      <c r="S5" s="56"/>
      <c r="T5" s="56"/>
      <c r="U5" s="56"/>
      <c r="V5" s="56"/>
      <c r="W5" s="56"/>
      <c r="X5" s="56"/>
      <c r="Y5" s="56"/>
      <c r="Z5" s="56"/>
    </row>
    <row r="6" spans="2:27" ht="18" x14ac:dyDescent="0.25">
      <c r="B6" s="234" t="s">
        <v>226</v>
      </c>
      <c r="C6" s="234"/>
      <c r="D6" s="242">
        <v>2010</v>
      </c>
      <c r="E6" s="242" t="s">
        <v>227</v>
      </c>
      <c r="F6" s="242">
        <v>2011</v>
      </c>
      <c r="G6" s="242" t="s">
        <v>227</v>
      </c>
      <c r="H6" s="242">
        <v>2012</v>
      </c>
      <c r="I6" s="242" t="s">
        <v>227</v>
      </c>
      <c r="J6" s="242">
        <v>2013</v>
      </c>
      <c r="K6" s="242" t="s">
        <v>227</v>
      </c>
      <c r="L6" s="242">
        <v>2014</v>
      </c>
      <c r="M6" s="242" t="s">
        <v>227</v>
      </c>
      <c r="N6" s="416" t="s">
        <v>394</v>
      </c>
      <c r="O6" s="417"/>
      <c r="P6" s="246" t="s">
        <v>61</v>
      </c>
      <c r="Q6" s="231">
        <v>2015</v>
      </c>
      <c r="R6" s="231" t="s">
        <v>227</v>
      </c>
      <c r="S6" s="231">
        <v>2016</v>
      </c>
      <c r="T6" s="231" t="s">
        <v>227</v>
      </c>
      <c r="U6" s="231">
        <v>2017</v>
      </c>
      <c r="V6" s="231" t="s">
        <v>227</v>
      </c>
      <c r="W6" s="231">
        <v>2018</v>
      </c>
      <c r="X6" s="231" t="s">
        <v>227</v>
      </c>
      <c r="Y6" s="231">
        <v>2019</v>
      </c>
      <c r="Z6" s="231" t="s">
        <v>227</v>
      </c>
      <c r="AA6" s="247" t="s">
        <v>62</v>
      </c>
    </row>
    <row r="7" spans="2:27" ht="15" x14ac:dyDescent="0.25">
      <c r="B7" s="56" t="s">
        <v>392</v>
      </c>
      <c r="C7" s="232" t="s">
        <v>393</v>
      </c>
      <c r="D7" s="238">
        <v>796193</v>
      </c>
      <c r="E7" s="235"/>
      <c r="F7" s="238">
        <v>655040</v>
      </c>
      <c r="G7" s="243">
        <f>+F7/D7-1</f>
        <v>-0.17728490453947721</v>
      </c>
      <c r="H7" s="238">
        <v>574726</v>
      </c>
      <c r="I7" s="243">
        <f>+H7/F7-1</f>
        <v>-0.12260930630190525</v>
      </c>
      <c r="J7" s="238">
        <v>724904</v>
      </c>
      <c r="K7" s="243">
        <f>+J7/H7-1</f>
        <v>0.26130364730323663</v>
      </c>
      <c r="L7" s="238">
        <f>743783/9*12</f>
        <v>991710.66666666674</v>
      </c>
      <c r="M7" s="243">
        <f>+L7/J7-1</f>
        <v>0.36805793134907061</v>
      </c>
      <c r="N7" s="238">
        <f>+AVERAGE(D7,F7,H7,J7,L7)</f>
        <v>748514.7333333334</v>
      </c>
      <c r="O7" s="243">
        <f>+AVERAGE(E7,G7,I7,K7,M7)</f>
        <v>8.2366841952731196E-2</v>
      </c>
      <c r="P7" s="56"/>
      <c r="Q7" s="238">
        <f>+L7*(1+R7)</f>
        <v>1090881.7333333334</v>
      </c>
      <c r="R7" s="243">
        <v>0.1</v>
      </c>
      <c r="S7" s="238">
        <f>+Q7*(1+T7)</f>
        <v>1309058.08</v>
      </c>
      <c r="T7" s="243">
        <v>0.2</v>
      </c>
      <c r="U7" s="238">
        <f>+S7*(1+V7)</f>
        <v>1570869.696</v>
      </c>
      <c r="V7" s="243">
        <f>+T7</f>
        <v>0.2</v>
      </c>
      <c r="W7" s="238">
        <f>+U7*(1+X7)</f>
        <v>1885043.6351999999</v>
      </c>
      <c r="X7" s="243">
        <f>+V7</f>
        <v>0.2</v>
      </c>
      <c r="Y7" s="238">
        <f>+W7*(1+Z7)</f>
        <v>2262052.3622399997</v>
      </c>
      <c r="Z7" s="243">
        <f>+X7</f>
        <v>0.2</v>
      </c>
    </row>
    <row r="8" spans="2:27" ht="15" x14ac:dyDescent="0.25">
      <c r="B8" s="56" t="s">
        <v>395</v>
      </c>
      <c r="C8" s="232" t="s">
        <v>393</v>
      </c>
      <c r="D8" s="238">
        <v>8535846</v>
      </c>
      <c r="E8" s="235"/>
      <c r="F8" s="238">
        <v>8303016</v>
      </c>
      <c r="G8" s="243">
        <f t="shared" ref="G8:M9" si="0">+F8/D8-1</f>
        <v>-2.7276733905461703E-2</v>
      </c>
      <c r="H8" s="238">
        <v>6342950</v>
      </c>
      <c r="I8" s="243">
        <f t="shared" si="0"/>
        <v>-0.23606674972082431</v>
      </c>
      <c r="J8" s="238">
        <v>6866127</v>
      </c>
      <c r="K8" s="243">
        <f t="shared" si="0"/>
        <v>8.2481652858685583E-2</v>
      </c>
      <c r="L8" s="238">
        <f>5340418/9*12</f>
        <v>7120557.333333333</v>
      </c>
      <c r="M8" s="243">
        <f t="shared" si="0"/>
        <v>3.705587346889061E-2</v>
      </c>
      <c r="N8" s="238">
        <f>+AVERAGE(D8,F8,H8,J8,L8)</f>
        <v>7433699.2666666675</v>
      </c>
      <c r="O8" s="243">
        <f t="shared" ref="O8:O9" si="1">+AVERAGE(E8,G8,I8,K8,M8)</f>
        <v>-3.5951489324677455E-2</v>
      </c>
      <c r="P8" s="56"/>
      <c r="Q8" s="238">
        <f>+L8*(1+R8)</f>
        <v>7476585.2000000002</v>
      </c>
      <c r="R8" s="243">
        <v>0.05</v>
      </c>
      <c r="S8" s="238">
        <f>+Q8*(1+T8)</f>
        <v>7850414.4600000009</v>
      </c>
      <c r="T8" s="243">
        <v>0.05</v>
      </c>
      <c r="U8" s="238">
        <f>+S8*(1+V8)</f>
        <v>8242935.1830000011</v>
      </c>
      <c r="V8" s="243">
        <v>0.05</v>
      </c>
      <c r="W8" s="238">
        <f>+U8*(1+X8)</f>
        <v>8655081.9421500023</v>
      </c>
      <c r="X8" s="243">
        <v>0.05</v>
      </c>
      <c r="Y8" s="238">
        <f>+W8*(1+Z8)</f>
        <v>9087836.0392575022</v>
      </c>
      <c r="Z8" s="243">
        <v>0.05</v>
      </c>
    </row>
    <row r="9" spans="2:27" ht="15" x14ac:dyDescent="0.25">
      <c r="B9" s="56" t="s">
        <v>396</v>
      </c>
      <c r="C9" s="232" t="s">
        <v>397</v>
      </c>
      <c r="D9" s="238">
        <v>7252</v>
      </c>
      <c r="E9" s="235"/>
      <c r="F9" s="238">
        <v>5016</v>
      </c>
      <c r="G9" s="243">
        <f t="shared" si="0"/>
        <v>-0.30832873690016549</v>
      </c>
      <c r="H9" s="238">
        <v>5945</v>
      </c>
      <c r="I9" s="243">
        <f t="shared" si="0"/>
        <v>0.18520733652312593</v>
      </c>
      <c r="J9" s="238">
        <v>7523</v>
      </c>
      <c r="K9" s="243">
        <f t="shared" si="0"/>
        <v>0.26543313708999161</v>
      </c>
      <c r="L9" s="238">
        <f>801.777777777778*12</f>
        <v>9621.3333333333358</v>
      </c>
      <c r="M9" s="243">
        <f t="shared" si="0"/>
        <v>0.27892241570295573</v>
      </c>
      <c r="N9" s="238">
        <f t="shared" ref="N9" si="2">+AVERAGE(D9,F9,H9,J9,L9)</f>
        <v>7071.4666666666672</v>
      </c>
      <c r="O9" s="243">
        <f t="shared" si="1"/>
        <v>0.10530853810397695</v>
      </c>
      <c r="P9" s="56"/>
      <c r="Q9" s="238">
        <f t="shared" ref="Q9" si="3">+L9*(1+R9)</f>
        <v>10102.400000000003</v>
      </c>
      <c r="R9" s="243">
        <v>0.05</v>
      </c>
      <c r="S9" s="238">
        <f>+Q9*(1+T9)</f>
        <v>10607.520000000004</v>
      </c>
      <c r="T9" s="243">
        <v>0.05</v>
      </c>
      <c r="U9" s="238">
        <f>+S9*(1+V9)</f>
        <v>11137.896000000004</v>
      </c>
      <c r="V9" s="243">
        <f>+T9</f>
        <v>0.05</v>
      </c>
      <c r="W9" s="238">
        <f>+U9*(1+X9)</f>
        <v>11694.790800000004</v>
      </c>
      <c r="X9" s="243">
        <f>+V9</f>
        <v>0.05</v>
      </c>
      <c r="Y9" s="238">
        <f>+W9*(1+Z9)</f>
        <v>12279.530340000005</v>
      </c>
      <c r="Z9" s="243">
        <f>+X9</f>
        <v>0.05</v>
      </c>
    </row>
    <row r="10" spans="2:27" x14ac:dyDescent="0.2">
      <c r="B10" s="56"/>
      <c r="C10" s="56"/>
      <c r="D10" s="3"/>
      <c r="E10" s="3"/>
      <c r="F10" s="3"/>
      <c r="G10" s="3"/>
      <c r="H10" s="3"/>
      <c r="I10" s="3"/>
      <c r="J10" s="3"/>
      <c r="K10" s="3"/>
      <c r="L10" s="3"/>
      <c r="M10" s="3"/>
      <c r="N10" s="56"/>
      <c r="O10" s="56"/>
      <c r="P10" s="56"/>
      <c r="Q10" s="3"/>
      <c r="R10" s="3"/>
      <c r="S10" s="3"/>
      <c r="T10" s="3"/>
      <c r="U10" s="3"/>
      <c r="V10" s="3"/>
      <c r="W10" s="3"/>
      <c r="X10" s="3"/>
      <c r="Y10" s="3"/>
      <c r="Z10" s="3"/>
    </row>
    <row r="11" spans="2:27" ht="15" x14ac:dyDescent="0.25">
      <c r="B11" s="245" t="s">
        <v>231</v>
      </c>
      <c r="C11" s="103"/>
      <c r="D11" s="56"/>
      <c r="E11" s="56"/>
      <c r="F11" s="56"/>
      <c r="G11" s="56"/>
      <c r="H11" s="56"/>
      <c r="I11" s="56"/>
      <c r="J11" s="56"/>
      <c r="K11" s="56"/>
      <c r="L11" s="56"/>
      <c r="M11" s="56"/>
      <c r="N11" s="56"/>
      <c r="O11" s="56"/>
      <c r="P11" s="56"/>
    </row>
    <row r="12" spans="2:27" x14ac:dyDescent="0.2">
      <c r="B12" s="234" t="s">
        <v>226</v>
      </c>
      <c r="C12" s="234"/>
      <c r="D12" s="242">
        <f>+$D$6</f>
        <v>2010</v>
      </c>
      <c r="E12" s="242" t="str">
        <f>+$E$6</f>
        <v>%</v>
      </c>
      <c r="F12" s="242">
        <f>+$F$6</f>
        <v>2011</v>
      </c>
      <c r="G12" s="242" t="str">
        <f>+$G$6</f>
        <v>%</v>
      </c>
      <c r="H12" s="242">
        <f>+$H$6</f>
        <v>2012</v>
      </c>
      <c r="I12" s="242" t="str">
        <f>+$I$6</f>
        <v>%</v>
      </c>
      <c r="J12" s="242">
        <f>+$J$6</f>
        <v>2013</v>
      </c>
      <c r="K12" s="242" t="str">
        <f>+$K$6</f>
        <v>%</v>
      </c>
      <c r="L12" s="242">
        <f>+$L$6</f>
        <v>2014</v>
      </c>
      <c r="M12" s="242" t="str">
        <f>+$M$6</f>
        <v>%</v>
      </c>
      <c r="N12" s="416" t="str">
        <f>+$N$6</f>
        <v>Promedio 5 años</v>
      </c>
      <c r="O12" s="417"/>
      <c r="P12" s="56"/>
    </row>
    <row r="13" spans="2:27" ht="15" x14ac:dyDescent="0.25">
      <c r="B13" s="56" t="str">
        <f>+B7</f>
        <v>Lubricantes</v>
      </c>
      <c r="C13" s="232" t="s">
        <v>229</v>
      </c>
      <c r="D13" s="241">
        <f>+D19/D7</f>
        <v>16.556460823820352</v>
      </c>
      <c r="E13" s="235"/>
      <c r="F13" s="241">
        <f>+F19/F7</f>
        <v>19.555750332956762</v>
      </c>
      <c r="G13" s="243">
        <f>+F13/D13-1</f>
        <v>0.181155232452894</v>
      </c>
      <c r="H13" s="241">
        <f>+H19/H7</f>
        <v>20.641656014170231</v>
      </c>
      <c r="I13" s="243">
        <f>+H13/F13-1</f>
        <v>5.5528714711775784E-2</v>
      </c>
      <c r="J13" s="241">
        <f>+J19/J7</f>
        <v>18.039471845651288</v>
      </c>
      <c r="K13" s="243">
        <f>+J13/H13-1</f>
        <v>-0.12606469978632417</v>
      </c>
      <c r="L13" s="241">
        <f>+L19/L7</f>
        <v>17.462347940998921</v>
      </c>
      <c r="M13" s="243">
        <f>+L13/J13-1</f>
        <v>-3.1992283897795626E-2</v>
      </c>
      <c r="N13" s="311">
        <f>+AVERAGE(D13,F13,H13,J13,L13)</f>
        <v>18.451137391519513</v>
      </c>
      <c r="O13" s="243">
        <f t="shared" ref="O13:O15" si="4">+AVERAGE(E13,G13,I13,K13,M13)</f>
        <v>1.9656740870137496E-2</v>
      </c>
      <c r="P13" s="56"/>
      <c r="Q13" s="241">
        <f>+L13</f>
        <v>17.462347940998921</v>
      </c>
      <c r="R13" s="243"/>
      <c r="S13" s="241">
        <f>+Q13*(1+T13)</f>
        <v>17.8115948998189</v>
      </c>
      <c r="T13" s="243">
        <v>0.02</v>
      </c>
      <c r="U13" s="241">
        <f>+S13*(1+V13)</f>
        <v>18.167826797815277</v>
      </c>
      <c r="V13" s="243">
        <v>0.02</v>
      </c>
      <c r="W13" s="241">
        <f>+U13*(1+X13)</f>
        <v>18.531183333771583</v>
      </c>
      <c r="X13" s="243">
        <v>0.02</v>
      </c>
      <c r="Y13" s="241">
        <f>+W13*(1+Z13)</f>
        <v>18.901807000447015</v>
      </c>
      <c r="Z13" s="243">
        <v>0.02</v>
      </c>
    </row>
    <row r="14" spans="2:27" ht="15" x14ac:dyDescent="0.25">
      <c r="B14" s="56" t="str">
        <f>+B8</f>
        <v xml:space="preserve">Proceso </v>
      </c>
      <c r="C14" s="232" t="s">
        <v>229</v>
      </c>
      <c r="D14" s="241">
        <f>+D20/D8</f>
        <v>10.367108383843849</v>
      </c>
      <c r="E14" s="235"/>
      <c r="F14" s="241">
        <f>+F20/F8</f>
        <v>13.847691110700021</v>
      </c>
      <c r="G14" s="243">
        <f t="shared" ref="G14" si="5">+F14/D14-1</f>
        <v>0.335733224539287</v>
      </c>
      <c r="H14" s="241">
        <f>+H20/H8</f>
        <v>16.137201185946598</v>
      </c>
      <c r="I14" s="243">
        <f t="shared" ref="I14" si="6">+H14/F14-1</f>
        <v>0.1653351491554782</v>
      </c>
      <c r="J14" s="241">
        <f>+J20/J8</f>
        <v>13.171374336580138</v>
      </c>
      <c r="K14" s="243">
        <f t="shared" ref="K14" si="7">+J14/H14-1</f>
        <v>-0.18378818081225312</v>
      </c>
      <c r="L14" s="241">
        <f>+L20/L8</f>
        <v>12.437381539572371</v>
      </c>
      <c r="M14" s="243">
        <f t="shared" ref="M14" si="8">+L14/J14-1</f>
        <v>-5.5726363722674588E-2</v>
      </c>
      <c r="N14" s="311">
        <f>+AVERAGE(D14,F14,H14,J14,L14)</f>
        <v>13.192151311328592</v>
      </c>
      <c r="O14" s="243">
        <f t="shared" si="4"/>
        <v>6.5388457289959373E-2</v>
      </c>
      <c r="P14" s="56"/>
      <c r="Q14" s="241">
        <f>+L14</f>
        <v>12.437381539572371</v>
      </c>
      <c r="R14" s="243"/>
      <c r="S14" s="241">
        <f>+Q14*(1+T14)</f>
        <v>12.686129170363818</v>
      </c>
      <c r="T14" s="243">
        <v>0.02</v>
      </c>
      <c r="U14" s="241">
        <f>+S14*(1+V14)</f>
        <v>12.939851753771094</v>
      </c>
      <c r="V14" s="243">
        <v>0.02</v>
      </c>
      <c r="W14" s="241">
        <f>+U14*(1+X14)</f>
        <v>13.198648788846517</v>
      </c>
      <c r="X14" s="243">
        <v>0.02</v>
      </c>
      <c r="Y14" s="241">
        <f>+W14*(1+Z14)</f>
        <v>13.462621764623448</v>
      </c>
      <c r="Z14" s="243">
        <v>0.02</v>
      </c>
    </row>
    <row r="15" spans="2:27" ht="15" x14ac:dyDescent="0.25">
      <c r="B15" s="56" t="str">
        <f>+B9</f>
        <v>Envases</v>
      </c>
      <c r="C15" s="232" t="s">
        <v>229</v>
      </c>
      <c r="D15" s="241">
        <f>+D21/D9</f>
        <v>18.586662975730835</v>
      </c>
      <c r="E15" s="235"/>
      <c r="F15" s="241">
        <f>+F21/F9</f>
        <v>90.101953429027105</v>
      </c>
      <c r="G15" s="243">
        <f t="shared" ref="G15" si="9">+F15/D15-1</f>
        <v>3.8476670366636512</v>
      </c>
      <c r="H15" s="241">
        <f>+H21/H9</f>
        <v>106.80093707317072</v>
      </c>
      <c r="I15" s="243">
        <f t="shared" ref="I15" si="10">+H15/F15-1</f>
        <v>0.18533431306011949</v>
      </c>
      <c r="J15" s="241">
        <f>+J21/J9</f>
        <v>98.866872564136656</v>
      </c>
      <c r="K15" s="243">
        <f t="shared" ref="K15" si="11">+J15/H15-1</f>
        <v>-7.4288341717435702E-2</v>
      </c>
      <c r="L15" s="241">
        <f>+L21/L9</f>
        <v>72.705343680709518</v>
      </c>
      <c r="M15" s="243">
        <f t="shared" ref="M15" si="12">+L15/J15-1</f>
        <v>-0.26461369925963518</v>
      </c>
      <c r="N15" s="311">
        <f t="shared" ref="N15" si="13">+AVERAGE(D15,F15,H15,J15,L15)</f>
        <v>77.412353944554965</v>
      </c>
      <c r="O15" s="243">
        <f t="shared" si="4"/>
        <v>0.92352482718667483</v>
      </c>
      <c r="P15" s="56"/>
      <c r="Q15" s="340">
        <v>0</v>
      </c>
      <c r="R15" s="243"/>
      <c r="S15" s="241">
        <f>+Q15*(1+T15)</f>
        <v>0</v>
      </c>
      <c r="T15" s="243">
        <v>0.01</v>
      </c>
      <c r="U15" s="241">
        <f>+S15*(1+V15)</f>
        <v>0</v>
      </c>
      <c r="V15" s="243">
        <v>0.01</v>
      </c>
      <c r="W15" s="241">
        <f>+U15*(1+X15)</f>
        <v>0</v>
      </c>
      <c r="X15" s="243">
        <v>0.01</v>
      </c>
      <c r="Y15" s="241">
        <f>+W15*(1+Z15)</f>
        <v>0</v>
      </c>
      <c r="Z15" s="243">
        <v>0.01</v>
      </c>
    </row>
    <row r="16" spans="2:27" x14ac:dyDescent="0.2">
      <c r="N16" s="56"/>
      <c r="O16" s="56"/>
      <c r="P16" s="56"/>
    </row>
    <row r="17" spans="1:26" ht="15" x14ac:dyDescent="0.25">
      <c r="A17" t="s">
        <v>132</v>
      </c>
      <c r="B17" s="245" t="s">
        <v>233</v>
      </c>
      <c r="C17" s="103"/>
      <c r="D17" s="56"/>
      <c r="E17" s="56"/>
      <c r="F17" s="56"/>
      <c r="G17" s="56"/>
      <c r="H17" s="56"/>
      <c r="I17" s="56"/>
      <c r="J17" s="56"/>
      <c r="K17" s="56"/>
      <c r="L17" s="56"/>
      <c r="M17" s="56"/>
      <c r="N17" s="56"/>
      <c r="O17" s="56"/>
      <c r="P17" s="56" t="s">
        <v>132</v>
      </c>
    </row>
    <row r="18" spans="1:26" x14ac:dyDescent="0.2">
      <c r="B18" s="234" t="s">
        <v>226</v>
      </c>
      <c r="C18" s="234"/>
      <c r="D18" s="242">
        <f>+$D$6</f>
        <v>2010</v>
      </c>
      <c r="E18" s="242" t="str">
        <f>+$E$6</f>
        <v>%</v>
      </c>
      <c r="F18" s="242">
        <f>+$F$6</f>
        <v>2011</v>
      </c>
      <c r="G18" s="242" t="str">
        <f>+$G$6</f>
        <v>%</v>
      </c>
      <c r="H18" s="242">
        <f>+$H$6</f>
        <v>2012</v>
      </c>
      <c r="I18" s="242" t="str">
        <f>+$I$6</f>
        <v>%</v>
      </c>
      <c r="J18" s="242">
        <f>+$J$6</f>
        <v>2013</v>
      </c>
      <c r="K18" s="242" t="str">
        <f>+$K$6</f>
        <v>%</v>
      </c>
      <c r="L18" s="242">
        <f>+$L$6</f>
        <v>2014</v>
      </c>
      <c r="M18" s="242" t="str">
        <f>+$M$6</f>
        <v>%</v>
      </c>
      <c r="N18" s="416" t="str">
        <f>+$N$6</f>
        <v>Promedio 5 años</v>
      </c>
      <c r="O18" s="417"/>
      <c r="P18" s="56"/>
    </row>
    <row r="19" spans="1:26" ht="15" x14ac:dyDescent="0.25">
      <c r="B19" s="56" t="str">
        <f>+B7</f>
        <v>Lubricantes</v>
      </c>
      <c r="C19" s="232" t="s">
        <v>229</v>
      </c>
      <c r="D19" s="238">
        <v>13182138.212699998</v>
      </c>
      <c r="E19" s="235"/>
      <c r="F19" s="238">
        <v>12809798.698099997</v>
      </c>
      <c r="G19" s="243">
        <f>+F19/D19-1</f>
        <v>-2.8245760178821411E-2</v>
      </c>
      <c r="H19" s="238">
        <v>11863296.394400001</v>
      </c>
      <c r="I19" s="243">
        <f>+H19/F19-1</f>
        <v>-7.3888928780776686E-2</v>
      </c>
      <c r="J19" s="238">
        <v>13076885.298800003</v>
      </c>
      <c r="K19" s="243">
        <f>+J19/H19-1</f>
        <v>0.10229778166655845</v>
      </c>
      <c r="L19" s="238">
        <f>12988197.5386/9*12</f>
        <v>17317596.718133334</v>
      </c>
      <c r="M19" s="243">
        <f>+L19/J19-1</f>
        <v>0.32429063362072008</v>
      </c>
      <c r="N19" s="238">
        <f>+AVERAGE(D19,F19,H19,J19,L19)</f>
        <v>13649943.064426666</v>
      </c>
      <c r="O19" s="243">
        <f t="shared" ref="O19:O22" si="14">+AVERAGE(E19,G19,I19,K19,M19)</f>
        <v>8.1113431581920109E-2</v>
      </c>
      <c r="P19" s="56"/>
      <c r="Q19" s="238">
        <f>+Q7*Q13</f>
        <v>19049356.389946669</v>
      </c>
      <c r="R19" s="243">
        <f>+Q19/L19-1</f>
        <v>0.10000000000000009</v>
      </c>
      <c r="S19" s="238">
        <f>+S7*S13</f>
        <v>23316412.221294723</v>
      </c>
      <c r="T19" s="243">
        <f>+S19/Q19-1</f>
        <v>0.22399999999999998</v>
      </c>
      <c r="U19" s="238">
        <f>+U7*U13</f>
        <v>28539288.558864739</v>
      </c>
      <c r="V19" s="243">
        <f>+U19/S19-1</f>
        <v>0.22399999999999998</v>
      </c>
      <c r="W19" s="238">
        <f>+W7*W13</f>
        <v>34932089.196050435</v>
      </c>
      <c r="X19" s="243">
        <f>+W19/U19-1</f>
        <v>0.22399999999999975</v>
      </c>
      <c r="Y19" s="238">
        <f>+Y7*Y13</f>
        <v>42756877.175965734</v>
      </c>
      <c r="Z19" s="243">
        <f>+Y19/W19-1</f>
        <v>0.22399999999999998</v>
      </c>
    </row>
    <row r="20" spans="1:26" ht="15" x14ac:dyDescent="0.25">
      <c r="B20" s="56" t="str">
        <f t="shared" ref="B20:B21" si="15">+B8</f>
        <v xml:space="preserve">Proceso </v>
      </c>
      <c r="C20" s="232" t="s">
        <v>229</v>
      </c>
      <c r="D20" s="238">
        <v>88492040.629799992</v>
      </c>
      <c r="E20" s="235"/>
      <c r="F20" s="238">
        <v>114977600.85520004</v>
      </c>
      <c r="G20" s="243">
        <f t="shared" ref="G20" si="16">+F20/D20-1</f>
        <v>0.29929878480484429</v>
      </c>
      <c r="H20" s="238">
        <v>102357460.26239997</v>
      </c>
      <c r="I20" s="243">
        <f t="shared" ref="I20" si="17">+H20/F20-1</f>
        <v>-0.10976173184108751</v>
      </c>
      <c r="J20" s="238">
        <v>90436328.95949997</v>
      </c>
      <c r="K20" s="243">
        <f t="shared" ref="K20" si="18">+J20/H20-1</f>
        <v>-0.11646568088285314</v>
      </c>
      <c r="L20" s="238">
        <f>66420816.2468/9*12</f>
        <v>88561088.329066664</v>
      </c>
      <c r="M20" s="243">
        <f t="shared" ref="M20" si="19">+L20/J20-1</f>
        <v>-2.0735479336772888E-2</v>
      </c>
      <c r="N20" s="238">
        <f>+AVERAGE(D20,F20,H20,J20,L20)</f>
        <v>96964903.807193324</v>
      </c>
      <c r="O20" s="243">
        <f t="shared" si="14"/>
        <v>1.3083973186032688E-2</v>
      </c>
      <c r="P20" s="56"/>
      <c r="Q20" s="238">
        <f>+Q8*Q14</f>
        <v>92989142.745520011</v>
      </c>
      <c r="R20" s="243">
        <f>+Q20/L20-1</f>
        <v>5.0000000000000044E-2</v>
      </c>
      <c r="S20" s="238">
        <f>+S8*S14</f>
        <v>99591371.880451933</v>
      </c>
      <c r="T20" s="243">
        <f>+S20/Q20-1</f>
        <v>7.0999999999999952E-2</v>
      </c>
      <c r="U20" s="238">
        <f>+U8*U14</f>
        <v>106662359.28396402</v>
      </c>
      <c r="V20" s="243">
        <f>+U20/S20-1</f>
        <v>7.0999999999999952E-2</v>
      </c>
      <c r="W20" s="238">
        <f>+W8*W14</f>
        <v>114235386.7931255</v>
      </c>
      <c r="X20" s="243">
        <f>+W20/U20-1</f>
        <v>7.1000000000000174E-2</v>
      </c>
      <c r="Y20" s="238">
        <f>+Y8*Y14</f>
        <v>122346099.2554374</v>
      </c>
      <c r="Z20" s="243">
        <f>+Y20/W20-1</f>
        <v>7.0999999999999952E-2</v>
      </c>
    </row>
    <row r="21" spans="1:26" ht="15" x14ac:dyDescent="0.25">
      <c r="B21" s="56" t="str">
        <f t="shared" si="15"/>
        <v>Envases</v>
      </c>
      <c r="C21" s="232" t="s">
        <v>229</v>
      </c>
      <c r="D21" s="240">
        <v>134790.47990000001</v>
      </c>
      <c r="E21" s="237"/>
      <c r="F21" s="240">
        <v>451951.39839999995</v>
      </c>
      <c r="G21" s="244">
        <f t="shared" ref="G21:G22" si="20">+F21/D21-1</f>
        <v>2.3529919823365799</v>
      </c>
      <c r="H21" s="240">
        <v>634931.57089999993</v>
      </c>
      <c r="I21" s="244">
        <f t="shared" ref="I21:I22" si="21">+H21/F21-1</f>
        <v>0.40486692407145353</v>
      </c>
      <c r="J21" s="240">
        <v>743775.48230000003</v>
      </c>
      <c r="K21" s="244">
        <f t="shared" ref="K21:K22" si="22">+J21/H21-1</f>
        <v>0.17142620778128337</v>
      </c>
      <c r="L21" s="240">
        <f>524641.76/9*12</f>
        <v>699522.34666666668</v>
      </c>
      <c r="M21" s="244">
        <f t="shared" ref="M21:M22" si="23">+L21/J21-1</f>
        <v>-5.9497975782272339E-2</v>
      </c>
      <c r="N21" s="240">
        <f t="shared" ref="N21" si="24">+AVERAGE(D21,F21,H21,J21,L21)</f>
        <v>532994.25563333335</v>
      </c>
      <c r="O21" s="244">
        <f t="shared" si="14"/>
        <v>0.71744678460176114</v>
      </c>
      <c r="P21" s="56"/>
      <c r="Q21" s="240">
        <f>+Q9*Q15</f>
        <v>0</v>
      </c>
      <c r="R21" s="244"/>
      <c r="S21" s="240"/>
      <c r="T21" s="244"/>
      <c r="U21" s="240"/>
      <c r="V21" s="244"/>
      <c r="W21" s="240"/>
      <c r="X21" s="244"/>
      <c r="Y21" s="240"/>
      <c r="Z21" s="244"/>
    </row>
    <row r="22" spans="1:26" ht="15" x14ac:dyDescent="0.25">
      <c r="B22" s="233" t="s">
        <v>230</v>
      </c>
      <c r="C22" s="56"/>
      <c r="D22" s="239">
        <f>+SUM(D19:D21)</f>
        <v>101808969.32239999</v>
      </c>
      <c r="E22" s="236"/>
      <c r="F22" s="239">
        <f>+SUM(F19:F21)</f>
        <v>128239350.95170003</v>
      </c>
      <c r="G22" s="236">
        <f t="shared" si="20"/>
        <v>0.25960759454898863</v>
      </c>
      <c r="H22" s="239">
        <f>+SUM(H19:H21)</f>
        <v>114855688.22769997</v>
      </c>
      <c r="I22" s="236">
        <f t="shared" si="21"/>
        <v>-0.10436471040032691</v>
      </c>
      <c r="J22" s="239">
        <f>+SUM(J19:J21)</f>
        <v>104256989.74059997</v>
      </c>
      <c r="K22" s="236">
        <f t="shared" si="22"/>
        <v>-9.2278394310677969E-2</v>
      </c>
      <c r="L22" s="239">
        <f>+SUM(L19:L21)</f>
        <v>106578207.39386666</v>
      </c>
      <c r="M22" s="235">
        <f t="shared" si="23"/>
        <v>2.2264383990388215E-2</v>
      </c>
      <c r="N22" s="239">
        <f>+SUM(N19:N21)</f>
        <v>111147841.12725332</v>
      </c>
      <c r="O22" s="236">
        <f t="shared" si="14"/>
        <v>2.1307218457092991E-2</v>
      </c>
      <c r="P22" s="56"/>
      <c r="Q22" s="239">
        <f>+SUM(Q19:Q21)</f>
        <v>112038499.13546668</v>
      </c>
      <c r="R22" s="235"/>
      <c r="S22" s="239">
        <f>+SUM(S19:S21)</f>
        <v>122907784.10174665</v>
      </c>
      <c r="T22" s="235"/>
      <c r="U22" s="239">
        <f>+SUM(U19:U21)</f>
        <v>135201647.84282875</v>
      </c>
      <c r="V22" s="235"/>
      <c r="W22" s="239">
        <f>+SUM(W19:W21)</f>
        <v>149167475.98917592</v>
      </c>
      <c r="X22" s="235"/>
      <c r="Y22" s="239">
        <f>+SUM(Y19:Y21)</f>
        <v>165102976.43140313</v>
      </c>
      <c r="Z22" s="235"/>
    </row>
    <row r="23" spans="1:26" x14ac:dyDescent="0.2">
      <c r="B23" s="56"/>
      <c r="C23" s="56"/>
      <c r="D23" s="3"/>
      <c r="E23" s="3"/>
      <c r="F23" s="3"/>
      <c r="G23" s="3"/>
      <c r="H23" s="3"/>
      <c r="I23" s="3"/>
      <c r="J23" s="3"/>
      <c r="K23" s="3"/>
      <c r="L23" s="3"/>
      <c r="M23" s="3"/>
      <c r="N23" s="3"/>
      <c r="O23" s="3"/>
      <c r="P23" s="3"/>
      <c r="Q23" s="3"/>
      <c r="R23" s="3"/>
      <c r="S23" s="3"/>
      <c r="T23" s="3"/>
      <c r="U23" s="3"/>
      <c r="V23" s="3"/>
    </row>
    <row r="24" spans="1:26" ht="15" x14ac:dyDescent="0.25">
      <c r="B24" s="103" t="s">
        <v>232</v>
      </c>
      <c r="C24" s="103"/>
      <c r="D24" s="56"/>
      <c r="E24" s="56"/>
      <c r="F24" s="56"/>
      <c r="G24" s="56"/>
      <c r="H24" s="56"/>
      <c r="I24" s="56"/>
      <c r="J24" s="56"/>
      <c r="K24" s="56"/>
      <c r="L24" s="56"/>
      <c r="M24" s="56"/>
      <c r="N24" s="56"/>
      <c r="O24" s="56"/>
      <c r="P24" s="56"/>
    </row>
    <row r="25" spans="1:26" x14ac:dyDescent="0.2">
      <c r="B25" s="234" t="s">
        <v>226</v>
      </c>
      <c r="C25" s="234"/>
      <c r="D25" s="242">
        <f>+$D$6</f>
        <v>2010</v>
      </c>
      <c r="E25" s="242" t="str">
        <f>+$E$6</f>
        <v>%</v>
      </c>
      <c r="F25" s="242">
        <f>+$F$6</f>
        <v>2011</v>
      </c>
      <c r="G25" s="242" t="str">
        <f>+$G$6</f>
        <v>%</v>
      </c>
      <c r="H25" s="242">
        <f>+$H$6</f>
        <v>2012</v>
      </c>
      <c r="I25" s="242" t="str">
        <f>+$I$6</f>
        <v>%</v>
      </c>
      <c r="J25" s="242">
        <f>+$J$6</f>
        <v>2013</v>
      </c>
      <c r="K25" s="242" t="str">
        <f>+$K$6</f>
        <v>%</v>
      </c>
      <c r="L25" s="242">
        <f>+$L$6</f>
        <v>2014</v>
      </c>
      <c r="M25" s="242" t="str">
        <f>+$M$6</f>
        <v>%</v>
      </c>
      <c r="N25" s="416"/>
      <c r="O25" s="417"/>
      <c r="P25" s="56"/>
    </row>
    <row r="26" spans="1:26" ht="15" x14ac:dyDescent="0.25">
      <c r="B26" s="56" t="str">
        <f>+B7</f>
        <v>Lubricantes</v>
      </c>
      <c r="C26" s="232" t="s">
        <v>229</v>
      </c>
      <c r="D26" s="241">
        <f>+D32/D7</f>
        <v>11.263924730222044</v>
      </c>
      <c r="E26" s="235"/>
      <c r="F26" s="241">
        <f>+F32/F7</f>
        <v>14.440884026007902</v>
      </c>
      <c r="G26" s="243">
        <f>+F26/D26-1</f>
        <v>0.28204727675974373</v>
      </c>
      <c r="H26" s="241">
        <f>+H32/H7</f>
        <v>15.597306524939137</v>
      </c>
      <c r="I26" s="243">
        <f>+H26/F26-1</f>
        <v>8.0079758056953443E-2</v>
      </c>
      <c r="J26" s="241">
        <f>+J32/J7</f>
        <v>13.529872057266365</v>
      </c>
      <c r="K26" s="243">
        <f>+J26/H26-1</f>
        <v>-0.1325507365240961</v>
      </c>
      <c r="L26" s="241">
        <f>+L32/L7</f>
        <v>13.610461515055734</v>
      </c>
      <c r="M26" s="243">
        <f>+L26/J26-1</f>
        <v>5.9564094507522647E-3</v>
      </c>
      <c r="N26" s="311">
        <f>+AVERAGE(D26,F26,H26,J26,L26)</f>
        <v>13.688489770698236</v>
      </c>
      <c r="O26" s="243">
        <f t="shared" ref="O26:O28" si="25">+AVERAGE(E26,G26,I26,K26,M26)</f>
        <v>5.8883176935838333E-2</v>
      </c>
      <c r="P26" s="56"/>
      <c r="Q26" s="241">
        <f>+L26</f>
        <v>13.610461515055734</v>
      </c>
      <c r="R26" s="243">
        <f>+Q26/L26-1</f>
        <v>0</v>
      </c>
      <c r="S26" s="241">
        <f>+Q26*(1+T26)</f>
        <v>13.610461515055734</v>
      </c>
      <c r="T26" s="243">
        <v>0</v>
      </c>
      <c r="U26" s="241">
        <f>+S26*(1+V26)</f>
        <v>13.746566130206292</v>
      </c>
      <c r="V26" s="243">
        <v>0.01</v>
      </c>
      <c r="W26" s="241">
        <f>+U26*(1+X26)</f>
        <v>13.952764622159384</v>
      </c>
      <c r="X26" s="243">
        <v>1.4999999999999999E-2</v>
      </c>
      <c r="Y26" s="241">
        <f>+W26*(1+Z26)</f>
        <v>14.162056091491774</v>
      </c>
      <c r="Z26" s="243">
        <f>+X26</f>
        <v>1.4999999999999999E-2</v>
      </c>
    </row>
    <row r="27" spans="1:26" ht="15" x14ac:dyDescent="0.25">
      <c r="B27" s="56" t="str">
        <f t="shared" ref="B27:B28" si="26">+B8</f>
        <v xml:space="preserve">Proceso </v>
      </c>
      <c r="C27" s="232" t="s">
        <v>229</v>
      </c>
      <c r="D27" s="241">
        <f t="shared" ref="D27:F28" si="27">+D33/D8</f>
        <v>9.0350043745834121</v>
      </c>
      <c r="E27" s="235"/>
      <c r="F27" s="241">
        <f t="shared" si="27"/>
        <v>11.806191054395628</v>
      </c>
      <c r="G27" s="243">
        <f t="shared" ref="G27:G28" si="28">+F27/D27-1</f>
        <v>0.30671669485937469</v>
      </c>
      <c r="H27" s="241">
        <f t="shared" ref="H27" si="29">+H33/H8</f>
        <v>14.145493318810306</v>
      </c>
      <c r="I27" s="243">
        <f t="shared" ref="I27:I28" si="30">+H27/F27-1</f>
        <v>0.1981419963167308</v>
      </c>
      <c r="J27" s="241">
        <f t="shared" ref="J27" si="31">+J33/J8</f>
        <v>11.706881486171079</v>
      </c>
      <c r="K27" s="243">
        <f t="shared" ref="K27:K28" si="32">+J27/H27-1</f>
        <v>-0.17239496549734501</v>
      </c>
      <c r="L27" s="241">
        <f t="shared" ref="L27" si="33">+L33/L8</f>
        <v>11.341043466949291</v>
      </c>
      <c r="M27" s="243">
        <f t="shared" ref="M27:M28" si="34">+L27/J27-1</f>
        <v>-3.124982683509181E-2</v>
      </c>
      <c r="N27" s="311">
        <f>+AVERAGE(D27,F27,H27,J27,L27)</f>
        <v>11.606922740181943</v>
      </c>
      <c r="O27" s="243">
        <f t="shared" si="25"/>
        <v>7.5303474710917168E-2</v>
      </c>
      <c r="P27" s="56"/>
      <c r="Q27" s="241">
        <f>+L27</f>
        <v>11.341043466949291</v>
      </c>
      <c r="R27" s="243">
        <f>+Q27/L27-1</f>
        <v>0</v>
      </c>
      <c r="S27" s="241">
        <f>+Q27*(1+T27)</f>
        <v>11.341043466949291</v>
      </c>
      <c r="T27" s="243">
        <v>0</v>
      </c>
      <c r="U27" s="241">
        <f>+S27*(1+V27)</f>
        <v>11.454453901618784</v>
      </c>
      <c r="V27" s="243">
        <v>0.01</v>
      </c>
      <c r="W27" s="241">
        <f>+U27*(1+X27)</f>
        <v>11.626270710143064</v>
      </c>
      <c r="X27" s="243">
        <v>1.4999999999999999E-2</v>
      </c>
      <c r="Y27" s="241">
        <f>+W27*(1+Z27)</f>
        <v>11.800664770795208</v>
      </c>
      <c r="Z27" s="243">
        <f>+X27</f>
        <v>1.4999999999999999E-2</v>
      </c>
    </row>
    <row r="28" spans="1:26" ht="15" x14ac:dyDescent="0.25">
      <c r="B28" s="56" t="str">
        <f t="shared" si="26"/>
        <v>Envases</v>
      </c>
      <c r="C28" s="232" t="s">
        <v>229</v>
      </c>
      <c r="D28" s="241">
        <f t="shared" si="27"/>
        <v>126.32589338113625</v>
      </c>
      <c r="E28" s="235"/>
      <c r="F28" s="241">
        <f t="shared" si="27"/>
        <v>118.8637966706539</v>
      </c>
      <c r="G28" s="243">
        <f t="shared" si="28"/>
        <v>-5.9070207308715039E-2</v>
      </c>
      <c r="H28" s="241">
        <f t="shared" ref="H28" si="35">+H34/H9</f>
        <v>121.70520311185872</v>
      </c>
      <c r="I28" s="243">
        <f t="shared" si="30"/>
        <v>2.3904725583330899E-2</v>
      </c>
      <c r="J28" s="241">
        <f t="shared" ref="J28" si="36">+J34/J9</f>
        <v>106.66016311311978</v>
      </c>
      <c r="K28" s="243">
        <f t="shared" si="32"/>
        <v>-0.1236187082725716</v>
      </c>
      <c r="L28" s="241">
        <f t="shared" ref="L28" si="37">+L34/L9</f>
        <v>103.31048215077604</v>
      </c>
      <c r="M28" s="243">
        <f t="shared" si="34"/>
        <v>-3.1405173821000054E-2</v>
      </c>
      <c r="N28" s="311">
        <f t="shared" ref="N28" si="38">+AVERAGE(D28,F28,H28,J28,L28)</f>
        <v>115.37310768550894</v>
      </c>
      <c r="O28" s="243">
        <f t="shared" si="25"/>
        <v>-4.7547340954738948E-2</v>
      </c>
      <c r="P28" s="56"/>
      <c r="Q28" s="241">
        <v>0</v>
      </c>
      <c r="R28" s="243">
        <f>+Q28/L28-1</f>
        <v>-1</v>
      </c>
      <c r="S28" s="241">
        <f>+Q28*(1+T28)</f>
        <v>0</v>
      </c>
      <c r="T28" s="243">
        <v>0</v>
      </c>
      <c r="U28" s="241">
        <f>+S28*(1+V28)</f>
        <v>0</v>
      </c>
      <c r="V28" s="243">
        <v>5.0000000000000001E-3</v>
      </c>
      <c r="W28" s="241">
        <f>+U28*(1+X28)</f>
        <v>0</v>
      </c>
      <c r="X28" s="243">
        <v>0.01</v>
      </c>
      <c r="Y28" s="241">
        <f>+W28*(1+Z28)</f>
        <v>0</v>
      </c>
      <c r="Z28" s="243">
        <f>+X28</f>
        <v>0.01</v>
      </c>
    </row>
    <row r="30" spans="1:26" ht="15" x14ac:dyDescent="0.25">
      <c r="A30" t="s">
        <v>132</v>
      </c>
      <c r="B30" s="103" t="s">
        <v>234</v>
      </c>
      <c r="C30" s="103"/>
      <c r="D30" s="56"/>
      <c r="E30" s="56"/>
      <c r="F30" s="56"/>
      <c r="G30" s="56"/>
      <c r="H30" s="56"/>
      <c r="I30" s="56"/>
      <c r="J30" s="56"/>
      <c r="K30" s="56"/>
      <c r="L30" s="56"/>
      <c r="M30" s="56"/>
      <c r="N30" s="56"/>
      <c r="O30" s="56"/>
      <c r="P30" s="56" t="s">
        <v>132</v>
      </c>
    </row>
    <row r="31" spans="1:26" x14ac:dyDescent="0.2">
      <c r="B31" s="234" t="s">
        <v>226</v>
      </c>
      <c r="C31" s="234"/>
      <c r="D31" s="242">
        <f>+$D$6</f>
        <v>2010</v>
      </c>
      <c r="E31" s="242" t="str">
        <f>+$E$6</f>
        <v>%</v>
      </c>
      <c r="F31" s="242">
        <f>+$F$6</f>
        <v>2011</v>
      </c>
      <c r="G31" s="242" t="str">
        <f>+$G$6</f>
        <v>%</v>
      </c>
      <c r="H31" s="242">
        <f>+$H$6</f>
        <v>2012</v>
      </c>
      <c r="I31" s="242" t="str">
        <f>+$I$6</f>
        <v>%</v>
      </c>
      <c r="J31" s="242">
        <f>+$J$6</f>
        <v>2013</v>
      </c>
      <c r="K31" s="242" t="str">
        <f>+$K$6</f>
        <v>%</v>
      </c>
      <c r="L31" s="242">
        <f>+$L$6</f>
        <v>2014</v>
      </c>
      <c r="M31" s="242" t="str">
        <f>+$M$6</f>
        <v>%</v>
      </c>
      <c r="N31" s="416"/>
      <c r="O31" s="417"/>
      <c r="P31" s="56"/>
    </row>
    <row r="32" spans="1:26" ht="15" x14ac:dyDescent="0.25">
      <c r="B32" s="56" t="str">
        <f>+B7</f>
        <v>Lubricantes</v>
      </c>
      <c r="C32" s="232" t="s">
        <v>229</v>
      </c>
      <c r="D32" s="238">
        <v>8968258.0227296799</v>
      </c>
      <c r="E32" s="235"/>
      <c r="F32" s="238">
        <v>9459356.6723962165</v>
      </c>
      <c r="G32" s="243">
        <f>+F32/D32-1</f>
        <v>5.4759647684295754E-2</v>
      </c>
      <c r="H32" s="238">
        <v>8964177.589852171</v>
      </c>
      <c r="I32" s="243">
        <f>+H32/F32-1</f>
        <v>-5.2348071829139364E-2</v>
      </c>
      <c r="J32" s="238">
        <v>9807858.3738006167</v>
      </c>
      <c r="K32" s="243">
        <f>+J32/H32-1</f>
        <v>9.4116919872663907E-2</v>
      </c>
      <c r="L32" s="238">
        <f>10123229.8970527/9*12</f>
        <v>13497639.862736933</v>
      </c>
      <c r="M32" s="243">
        <f>+L32/J32-1</f>
        <v>0.37620664454053476</v>
      </c>
      <c r="N32" s="238">
        <f>+AVERAGE(D32,F32,H32,J32,L32)</f>
        <v>10139458.104303123</v>
      </c>
      <c r="O32" s="243">
        <f t="shared" ref="O32:O35" si="39">+AVERAGE(E32,G32,I32,K32,M32)</f>
        <v>0.11818378506708876</v>
      </c>
      <c r="P32" s="56"/>
      <c r="Q32" s="238">
        <f>+Q7*Q26</f>
        <v>14847403.849010626</v>
      </c>
      <c r="R32" s="243">
        <f>+Q32/Q19</f>
        <v>0.77941761102471518</v>
      </c>
      <c r="S32" s="238">
        <f>+S7*S26</f>
        <v>17816884.618812751</v>
      </c>
      <c r="T32" s="243">
        <f>+S32/S19</f>
        <v>0.76413491276932866</v>
      </c>
      <c r="U32" s="238">
        <f>+U7*U26</f>
        <v>21594064.158001054</v>
      </c>
      <c r="V32" s="243">
        <f>+U32/U19</f>
        <v>0.75664339401668823</v>
      </c>
      <c r="W32" s="238">
        <f>+W7*W26</f>
        <v>26301570.144445278</v>
      </c>
      <c r="X32" s="243">
        <f>+W32/W19</f>
        <v>0.7529343577715083</v>
      </c>
      <c r="Y32" s="238">
        <f>+Y7*Y26</f>
        <v>32035312.435934346</v>
      </c>
      <c r="Z32" s="243">
        <f>+Y32/Y19</f>
        <v>0.74924350307654985</v>
      </c>
    </row>
    <row r="33" spans="2:26" ht="15" x14ac:dyDescent="0.25">
      <c r="B33" s="56" t="str">
        <f t="shared" ref="B33:B34" si="40">+B8</f>
        <v xml:space="preserve">Proceso </v>
      </c>
      <c r="C33" s="232" t="s">
        <v>229</v>
      </c>
      <c r="D33" s="238">
        <v>77121405.950770319</v>
      </c>
      <c r="E33" s="235"/>
      <c r="F33" s="238">
        <v>98026993.223703772</v>
      </c>
      <c r="G33" s="243">
        <f t="shared" ref="G33:G35" si="41">+F33/D33-1</f>
        <v>0.27107373128387113</v>
      </c>
      <c r="H33" s="238">
        <v>89724156.846547827</v>
      </c>
      <c r="I33" s="243">
        <f t="shared" ref="I33:I35" si="42">+H33/F33-1</f>
        <v>-8.4699490457779802E-2</v>
      </c>
      <c r="J33" s="238">
        <v>80380935.057999372</v>
      </c>
      <c r="K33" s="243">
        <f t="shared" ref="K33:K35" si="43">+J33/H33-1</f>
        <v>-0.10413273433739645</v>
      </c>
      <c r="L33" s="238">
        <f>60565912.6696784/9*12</f>
        <v>80754550.226237863</v>
      </c>
      <c r="M33" s="243">
        <f t="shared" ref="M33:M35" si="44">+L33/J33-1</f>
        <v>4.6480570046729675E-3</v>
      </c>
      <c r="N33" s="238">
        <f>+AVERAGE(D33,F33,H33,J33,L33)</f>
        <v>85201608.261051819</v>
      </c>
      <c r="O33" s="243">
        <f t="shared" si="39"/>
        <v>2.1722390873341962E-2</v>
      </c>
      <c r="P33" s="56"/>
      <c r="Q33" s="238">
        <f>+Q8*Q27</f>
        <v>84792277.737549752</v>
      </c>
      <c r="R33" s="243">
        <f>+Q33/Q20</f>
        <v>0.91185137569874886</v>
      </c>
      <c r="S33" s="238">
        <f>+S8*S27</f>
        <v>89031891.624427259</v>
      </c>
      <c r="T33" s="243">
        <f>+S33/S20</f>
        <v>0.8939719369595579</v>
      </c>
      <c r="U33" s="238">
        <f>+U8*U27</f>
        <v>94418321.06770511</v>
      </c>
      <c r="V33" s="243">
        <f>+U33/U20</f>
        <v>0.8852075062050524</v>
      </c>
      <c r="W33" s="238">
        <f>+W8*W27</f>
        <v>100626325.67790672</v>
      </c>
      <c r="X33" s="243">
        <f>+W33/W20</f>
        <v>0.88086825372365485</v>
      </c>
      <c r="Y33" s="238">
        <f>+Y8*Y27</f>
        <v>107242506.59122907</v>
      </c>
      <c r="Z33" s="243">
        <f>+Y33/Y20</f>
        <v>0.87655027208775438</v>
      </c>
    </row>
    <row r="34" spans="2:26" ht="15" x14ac:dyDescent="0.25">
      <c r="B34" s="56" t="str">
        <f t="shared" si="40"/>
        <v>Envases</v>
      </c>
      <c r="C34" s="232" t="s">
        <v>229</v>
      </c>
      <c r="D34" s="240">
        <v>916115.37880000006</v>
      </c>
      <c r="E34" s="237"/>
      <c r="F34" s="240">
        <v>596220.80409999995</v>
      </c>
      <c r="G34" s="244">
        <f t="shared" si="41"/>
        <v>-0.34918590180095344</v>
      </c>
      <c r="H34" s="240">
        <v>723537.43250000011</v>
      </c>
      <c r="I34" s="244">
        <f t="shared" si="42"/>
        <v>0.2135393926620619</v>
      </c>
      <c r="J34" s="240">
        <v>802404.40710000007</v>
      </c>
      <c r="K34" s="244">
        <f t="shared" si="43"/>
        <v>0.10900192727761859</v>
      </c>
      <c r="L34" s="240">
        <f>745488.4392/9*12</f>
        <v>993984.58560000011</v>
      </c>
      <c r="M34" s="244">
        <f t="shared" si="44"/>
        <v>0.23875763493423108</v>
      </c>
      <c r="N34" s="240">
        <f t="shared" ref="N34" si="45">+AVERAGE(D34,F34,H34,J34,L34)</f>
        <v>806452.52162000001</v>
      </c>
      <c r="O34" s="244">
        <f t="shared" si="39"/>
        <v>5.3028263268239534E-2</v>
      </c>
      <c r="P34" s="56"/>
      <c r="Q34" s="240">
        <f>+Q9*Q28</f>
        <v>0</v>
      </c>
      <c r="R34" s="244"/>
      <c r="S34" s="240"/>
      <c r="T34" s="244"/>
      <c r="U34" s="240"/>
      <c r="V34" s="244"/>
      <c r="W34" s="240"/>
      <c r="X34" s="244"/>
      <c r="Y34" s="240"/>
      <c r="Z34" s="244"/>
    </row>
    <row r="35" spans="2:26" ht="15" x14ac:dyDescent="0.25">
      <c r="B35" s="233" t="s">
        <v>230</v>
      </c>
      <c r="C35" s="56"/>
      <c r="D35" s="239">
        <f>+SUM(D32:D34)</f>
        <v>87005779.352300003</v>
      </c>
      <c r="E35" s="236"/>
      <c r="F35" s="239">
        <f>+SUM(F32:F34)</f>
        <v>108082570.70019999</v>
      </c>
      <c r="G35" s="236">
        <f t="shared" si="41"/>
        <v>0.24224587728312574</v>
      </c>
      <c r="H35" s="239">
        <f>+SUM(H32:H34)</f>
        <v>99411871.868900001</v>
      </c>
      <c r="I35" s="236">
        <f t="shared" si="42"/>
        <v>-8.0222914528474965E-2</v>
      </c>
      <c r="J35" s="239">
        <f>+SUM(J32:J34)</f>
        <v>90991197.8389</v>
      </c>
      <c r="K35" s="236">
        <f t="shared" si="43"/>
        <v>-8.4704913726046827E-2</v>
      </c>
      <c r="L35" s="239">
        <f>+SUM(L32:L34)</f>
        <v>95246174.674574807</v>
      </c>
      <c r="M35" s="236">
        <f t="shared" si="44"/>
        <v>4.67625104046685E-2</v>
      </c>
      <c r="N35" s="239">
        <f>+SUM(N32:N34)</f>
        <v>96147518.886974946</v>
      </c>
      <c r="O35" s="236">
        <f t="shared" si="39"/>
        <v>3.1020139858318113E-2</v>
      </c>
      <c r="P35" s="56"/>
      <c r="Q35" s="239">
        <f>+SUM(Q32:Q34)</f>
        <v>99639681.586560383</v>
      </c>
      <c r="R35" s="236">
        <f>+Q35/Q22</f>
        <v>0.88933431236065752</v>
      </c>
      <c r="S35" s="239">
        <f>+SUM(S32:S34)</f>
        <v>106848776.24324001</v>
      </c>
      <c r="T35" s="236">
        <f>+S35/S22</f>
        <v>0.8693410024770073</v>
      </c>
      <c r="U35" s="239">
        <f>+SUM(U32:U34)</f>
        <v>116012385.22570616</v>
      </c>
      <c r="V35" s="236">
        <f>+U35/U22</f>
        <v>0.85806931407056508</v>
      </c>
      <c r="W35" s="239">
        <f>+SUM(W32:W34)</f>
        <v>126927895.82235199</v>
      </c>
      <c r="X35" s="236">
        <f>+W35/W22</f>
        <v>0.8509086513709081</v>
      </c>
      <c r="Y35" s="239">
        <f>+SUM(Y32:Y34)</f>
        <v>139277819.02716342</v>
      </c>
      <c r="Z35" s="236">
        <f>+Y35/Y22</f>
        <v>0.84358151523107439</v>
      </c>
    </row>
  </sheetData>
  <mergeCells count="5">
    <mergeCell ref="N6:O6"/>
    <mergeCell ref="N18:O18"/>
    <mergeCell ref="N12:O12"/>
    <mergeCell ref="N25:O25"/>
    <mergeCell ref="N31:O31"/>
  </mergeCells>
  <pageMargins left="0.7" right="0.7" top="0.75" bottom="0.75" header="0.3" footer="0.3"/>
  <ignoredErrors>
    <ignoredError sqref="T19:T20 X19:X20 V19:V20 U19:U20 W19:W20 Y19:Y20 R19:R20 R32:Z32 U28 R35:Z35 V7:Z7 V9:Y9 F13:K14 U26 Y26 Y28 W28 W26 F15:K15 G22 H21:J22 G36:O36 G26:J31 K22:O22 G35:J35 G33 I33 G32 I32 G34 I34 M13:M14 M15 W27 R33:Z33 L13:L15 L19:L21 L7:L9 L32:L34 W8 Y8" formula="1"/>
    <ignoredError sqref="K29:O31 K35:M35 K32 M32 K33:K34 M33:M34 O35 O32 O33:O34 K26:M28 O26:O28" evalError="1" formula="1"/>
    <ignoredError sqref="L16:L1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V214"/>
  <sheetViews>
    <sheetView showGridLines="0" zoomScale="115" zoomScaleNormal="115" workbookViewId="0">
      <pane xSplit="2" ySplit="6" topLeftCell="C7" activePane="bottomRight" state="frozen"/>
      <selection pane="topRight" activeCell="C1" sqref="C1"/>
      <selection pane="bottomLeft" activeCell="A7" sqref="A7"/>
      <selection pane="bottomRight" activeCell="J198" sqref="J198"/>
    </sheetView>
  </sheetViews>
  <sheetFormatPr baseColWidth="10" defaultRowHeight="11.25" outlineLevelRow="2" outlineLevelCol="1" x14ac:dyDescent="0.2"/>
  <cols>
    <col min="1" max="1" width="3.875" style="1" customWidth="1"/>
    <col min="2" max="2" width="29.625" style="1" customWidth="1"/>
    <col min="3" max="3" width="10.25" style="1" customWidth="1" outlineLevel="1"/>
    <col min="4" max="4" width="11" style="1" customWidth="1" outlineLevel="1"/>
    <col min="5" max="5" width="10.25" style="1" customWidth="1" outlineLevel="1"/>
    <col min="6" max="6" width="11.25" style="1" customWidth="1" outlineLevel="1"/>
    <col min="7" max="7" width="11" style="1" customWidth="1" outlineLevel="1"/>
    <col min="8" max="8" width="11.375" style="1" customWidth="1" outlineLevel="1"/>
    <col min="9" max="9" width="6.375" style="1" bestFit="1" customWidth="1"/>
    <col min="10" max="14" width="11" style="1" customWidth="1" outlineLevel="1"/>
    <col min="15" max="15" width="5.625" style="1" bestFit="1" customWidth="1"/>
    <col min="16" max="16384" width="11" style="1"/>
  </cols>
  <sheetData>
    <row r="1" spans="1:74" s="191" customFormat="1" ht="15.75" x14ac:dyDescent="0.25">
      <c r="B1" s="188" t="s">
        <v>456</v>
      </c>
    </row>
    <row r="2" spans="1:74" s="191" customFormat="1" ht="12.6" customHeight="1" x14ac:dyDescent="0.2">
      <c r="B2" s="190" t="s">
        <v>457</v>
      </c>
    </row>
    <row r="3" spans="1:74" s="191" customFormat="1" ht="12.6" customHeight="1" x14ac:dyDescent="0.2">
      <c r="B3" s="156" t="s">
        <v>211</v>
      </c>
    </row>
    <row r="4" spans="1:74" ht="12.6" customHeight="1" x14ac:dyDescent="0.2"/>
    <row r="5" spans="1:74" ht="12.75" x14ac:dyDescent="0.2">
      <c r="A5" s="1" t="s">
        <v>131</v>
      </c>
      <c r="B5" s="82" t="s">
        <v>134</v>
      </c>
      <c r="C5" s="415"/>
      <c r="D5" s="415"/>
      <c r="E5" s="415"/>
      <c r="F5" s="415"/>
      <c r="G5" s="415"/>
      <c r="H5" s="415"/>
      <c r="J5" s="415" t="s">
        <v>60</v>
      </c>
      <c r="K5" s="415"/>
      <c r="L5" s="415"/>
      <c r="M5" s="415"/>
      <c r="N5" s="415"/>
    </row>
    <row r="6" spans="1:74" ht="25.5" x14ac:dyDescent="0.2">
      <c r="B6" s="11" t="s">
        <v>5</v>
      </c>
      <c r="C6" s="11">
        <v>2010</v>
      </c>
      <c r="D6" s="11">
        <v>2011</v>
      </c>
      <c r="E6" s="11">
        <v>2012</v>
      </c>
      <c r="F6" s="11">
        <v>2013</v>
      </c>
      <c r="G6" s="15" t="s">
        <v>170</v>
      </c>
      <c r="H6" s="81" t="s">
        <v>387</v>
      </c>
      <c r="I6" s="12" t="s">
        <v>61</v>
      </c>
      <c r="J6" s="11">
        <v>2015</v>
      </c>
      <c r="K6" s="11">
        <v>2016</v>
      </c>
      <c r="L6" s="11">
        <v>2017</v>
      </c>
      <c r="M6" s="11">
        <v>2018</v>
      </c>
      <c r="N6" s="11">
        <v>2019</v>
      </c>
      <c r="O6" s="12" t="s">
        <v>62</v>
      </c>
    </row>
    <row r="7" spans="1:74" ht="3.75" customHeight="1" x14ac:dyDescent="0.2">
      <c r="B7" s="8"/>
      <c r="G7" s="16"/>
    </row>
    <row r="8" spans="1:74" ht="13.5" outlineLevel="1" x14ac:dyDescent="0.25">
      <c r="B8" s="23" t="s">
        <v>392</v>
      </c>
      <c r="C8" s="27">
        <f>+Proyección!D19</f>
        <v>13182138.212699998</v>
      </c>
      <c r="D8" s="27">
        <f>+Proyección!F19</f>
        <v>12809798.698099997</v>
      </c>
      <c r="E8" s="27">
        <f>+Proyección!H19</f>
        <v>11863296.394400001</v>
      </c>
      <c r="F8" s="27">
        <f>+Proyección!J19</f>
        <v>13076885.298800003</v>
      </c>
      <c r="G8" s="17">
        <f>+Proyección!L19</f>
        <v>17317596.718133334</v>
      </c>
      <c r="H8" s="27">
        <f>+Proyección!L19/12*9</f>
        <v>12988197.538600001</v>
      </c>
      <c r="I8" s="230"/>
      <c r="J8" s="73">
        <f>+Proyección!Q19</f>
        <v>19049356.389946669</v>
      </c>
      <c r="K8" s="73">
        <f>+Proyección!S19</f>
        <v>23316412.221294723</v>
      </c>
      <c r="L8" s="73">
        <f>+Proyección!U19</f>
        <v>28539288.558864739</v>
      </c>
      <c r="M8" s="73">
        <f>+Proyección!W19</f>
        <v>34932089.196050435</v>
      </c>
      <c r="N8" s="73">
        <f>+Proyección!Y19</f>
        <v>42756877.175965734</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row>
    <row r="9" spans="1:74" ht="13.5" outlineLevel="1" x14ac:dyDescent="0.25">
      <c r="B9" s="23" t="s">
        <v>395</v>
      </c>
      <c r="C9" s="27">
        <f>+Proyección!D20</f>
        <v>88492040.629799992</v>
      </c>
      <c r="D9" s="27">
        <f>+Proyección!F20</f>
        <v>114977600.85520004</v>
      </c>
      <c r="E9" s="27">
        <f>+Proyección!H20</f>
        <v>102357460.26239997</v>
      </c>
      <c r="F9" s="27">
        <f>+Proyección!J20</f>
        <v>90436328.95949997</v>
      </c>
      <c r="G9" s="17">
        <f>+Proyección!L20</f>
        <v>88561088.329066664</v>
      </c>
      <c r="H9" s="27">
        <f>+Proyección!L20/12*9</f>
        <v>66420816.246799998</v>
      </c>
      <c r="I9" s="230"/>
      <c r="J9" s="73">
        <f>+Proyección!Q20</f>
        <v>92989142.745520011</v>
      </c>
      <c r="K9" s="73">
        <f>+Proyección!S20</f>
        <v>99591371.880451933</v>
      </c>
      <c r="L9" s="73">
        <f>+Proyección!U20</f>
        <v>106662359.28396402</v>
      </c>
      <c r="M9" s="73">
        <f>+Proyección!W20</f>
        <v>114235386.7931255</v>
      </c>
      <c r="N9" s="73">
        <f>+Proyección!Y20</f>
        <v>122346099.2554374</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ht="13.5" outlineLevel="1" x14ac:dyDescent="0.25">
      <c r="B10" s="23" t="s">
        <v>396</v>
      </c>
      <c r="C10" s="27">
        <f>+Proyección!D21</f>
        <v>134790.47990000001</v>
      </c>
      <c r="D10" s="27">
        <f>+Proyección!F21</f>
        <v>451951.39839999995</v>
      </c>
      <c r="E10" s="27">
        <f>+Proyección!H21</f>
        <v>634931.57089999993</v>
      </c>
      <c r="F10" s="27">
        <f>+Proyección!J21</f>
        <v>743775.48230000003</v>
      </c>
      <c r="G10" s="17">
        <f>+Proyección!L21</f>
        <v>699522.34666666668</v>
      </c>
      <c r="H10" s="27">
        <f>+Proyección!L21/12*9</f>
        <v>524641.76</v>
      </c>
      <c r="I10" s="230"/>
      <c r="J10" s="73">
        <f>+Proyección!Q21</f>
        <v>0</v>
      </c>
      <c r="K10" s="73">
        <f>+Proyección!S21</f>
        <v>0</v>
      </c>
      <c r="L10" s="73">
        <f>+Proyección!U21</f>
        <v>0</v>
      </c>
      <c r="M10" s="73">
        <f>+Proyección!W21</f>
        <v>0</v>
      </c>
      <c r="N10" s="73">
        <f>+Proyección!Y21</f>
        <v>0</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row>
    <row r="11" spans="1:74" ht="13.5" outlineLevel="1" x14ac:dyDescent="0.25">
      <c r="B11" s="23" t="s">
        <v>398</v>
      </c>
      <c r="C11" s="302">
        <f>+C12-SUM(C8:C10)</f>
        <v>1679358.6776000112</v>
      </c>
      <c r="D11" s="27">
        <f t="shared" ref="D11:F11" si="0">+D12-SUM(D8:D10)</f>
        <v>2920125.0482999682</v>
      </c>
      <c r="E11" s="27">
        <f t="shared" si="0"/>
        <v>-58971.227699965239</v>
      </c>
      <c r="F11" s="27">
        <f t="shared" si="0"/>
        <v>-85060.74059997499</v>
      </c>
      <c r="G11" s="17"/>
      <c r="H11" s="27">
        <f>+H12-SUM(H8:H10)</f>
        <v>-67961.705400004983</v>
      </c>
      <c r="I11" s="230"/>
      <c r="J11" s="312"/>
      <c r="K11" s="312"/>
      <c r="L11" s="312"/>
      <c r="M11" s="312"/>
      <c r="N11" s="31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12.75" outlineLevel="1" x14ac:dyDescent="0.2">
      <c r="B12" s="23" t="s">
        <v>4</v>
      </c>
      <c r="C12" s="4">
        <v>103488328</v>
      </c>
      <c r="D12" s="4">
        <v>131159476</v>
      </c>
      <c r="E12" s="4">
        <v>114796717</v>
      </c>
      <c r="F12" s="4">
        <v>104171929</v>
      </c>
      <c r="G12" s="18">
        <f>+SUM(G8:G11)</f>
        <v>106578207.39386666</v>
      </c>
      <c r="H12" s="4">
        <f>+'&gt;&gt; PL Fuente EEFF sep 14'!H5</f>
        <v>79865693.840000004</v>
      </c>
      <c r="I12" s="77"/>
      <c r="J12" s="40"/>
      <c r="K12" s="40"/>
      <c r="L12" s="40"/>
      <c r="M12" s="40"/>
      <c r="N12" s="40"/>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row>
    <row r="13" spans="1:74" ht="12.75" x14ac:dyDescent="0.2">
      <c r="B13" s="10" t="s">
        <v>4</v>
      </c>
      <c r="C13" s="5">
        <f>+SUM(C8:C12)-C12</f>
        <v>103488328</v>
      </c>
      <c r="D13" s="5">
        <f t="shared" ref="D13:H13" si="1">+SUM(D8:D12)-D12</f>
        <v>131159476</v>
      </c>
      <c r="E13" s="5">
        <f t="shared" si="1"/>
        <v>114796717</v>
      </c>
      <c r="F13" s="5">
        <f t="shared" si="1"/>
        <v>104171929</v>
      </c>
      <c r="G13" s="19">
        <f t="shared" si="1"/>
        <v>106578207.39386666</v>
      </c>
      <c r="H13" s="5">
        <f t="shared" si="1"/>
        <v>79865693.840000004</v>
      </c>
      <c r="I13" s="3"/>
      <c r="J13" s="5">
        <f>+SUM(J8:J12)</f>
        <v>112038499.13546668</v>
      </c>
      <c r="K13" s="5">
        <f>+SUM(K8:K12)</f>
        <v>122907784.10174665</v>
      </c>
      <c r="L13" s="5">
        <f>+SUM(L8:L12)</f>
        <v>135201647.84282875</v>
      </c>
      <c r="M13" s="5">
        <f>+SUM(M8:M12)</f>
        <v>149167475.98917592</v>
      </c>
      <c r="N13" s="5">
        <f>+SUM(N8:N12)</f>
        <v>165102976.43140313</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row>
    <row r="14" spans="1:74" ht="3.75" customHeight="1" x14ac:dyDescent="0.2">
      <c r="B14" s="8"/>
      <c r="G14" s="16"/>
    </row>
    <row r="15" spans="1:74" ht="13.5" outlineLevel="1" x14ac:dyDescent="0.25">
      <c r="B15" s="2" t="str">
        <f>IF($B$8="","",+$B$8)</f>
        <v>Lubricantes</v>
      </c>
      <c r="C15" s="27">
        <f>+Proyección!D32</f>
        <v>8968258.0227296799</v>
      </c>
      <c r="D15" s="27">
        <f>+Proyección!F32</f>
        <v>9459356.6723962165</v>
      </c>
      <c r="E15" s="27">
        <f>+Proyección!H32</f>
        <v>8964177.589852171</v>
      </c>
      <c r="F15" s="27">
        <f>+Proyección!J32</f>
        <v>9807858.3738006167</v>
      </c>
      <c r="G15" s="17">
        <f>+Proyección!L32</f>
        <v>13497639.862736933</v>
      </c>
      <c r="H15" s="27">
        <f>+Proyección!L32/12*9</f>
        <v>10123229.8970527</v>
      </c>
      <c r="I15" s="3"/>
      <c r="J15" s="3">
        <f>+Proyección!Q32</f>
        <v>14847403.849010626</v>
      </c>
      <c r="K15" s="3">
        <f>+Proyección!S32</f>
        <v>17816884.618812751</v>
      </c>
      <c r="L15" s="3">
        <f>+Proyección!U32</f>
        <v>21594064.158001054</v>
      </c>
      <c r="M15" s="3">
        <f>+Proyección!W32</f>
        <v>26301570.144445278</v>
      </c>
      <c r="N15" s="3">
        <f>+Proyección!Y32</f>
        <v>32035312.435934346</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4" ht="13.5" outlineLevel="1" x14ac:dyDescent="0.25">
      <c r="B16" s="2" t="str">
        <f>IF($B$9="","",+$B$9)</f>
        <v xml:space="preserve">Proceso </v>
      </c>
      <c r="C16" s="27">
        <f>+Proyección!D33</f>
        <v>77121405.950770319</v>
      </c>
      <c r="D16" s="27">
        <f>+Proyección!F33</f>
        <v>98026993.223703772</v>
      </c>
      <c r="E16" s="27">
        <f>+Proyección!H33</f>
        <v>89724156.846547827</v>
      </c>
      <c r="F16" s="27">
        <f>+Proyección!J33</f>
        <v>80380935.057999372</v>
      </c>
      <c r="G16" s="17">
        <f>+Proyección!L33</f>
        <v>80754550.226237863</v>
      </c>
      <c r="H16" s="27">
        <f>+Proyección!L33/12*9</f>
        <v>60565912.669678397</v>
      </c>
      <c r="I16" s="3"/>
      <c r="J16" s="3">
        <f>+Proyección!Q33</f>
        <v>84792277.737549752</v>
      </c>
      <c r="K16" s="3">
        <f>+Proyección!S33</f>
        <v>89031891.624427259</v>
      </c>
      <c r="L16" s="3">
        <f>+Proyección!U33</f>
        <v>94418321.06770511</v>
      </c>
      <c r="M16" s="3">
        <f>+Proyección!W33</f>
        <v>100626325.67790672</v>
      </c>
      <c r="N16" s="3">
        <f>+Proyección!Y33</f>
        <v>107242506.59122907</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2:74" ht="13.5" outlineLevel="1" x14ac:dyDescent="0.25">
      <c r="B17" s="2" t="str">
        <f>IF($B$10="","",+$B$10)</f>
        <v>Envases</v>
      </c>
      <c r="C17" s="27">
        <f>+Proyección!D34</f>
        <v>916115.37880000006</v>
      </c>
      <c r="D17" s="27">
        <f>+Proyección!F34</f>
        <v>596220.80409999995</v>
      </c>
      <c r="E17" s="27">
        <f>+Proyección!H34</f>
        <v>723537.43250000011</v>
      </c>
      <c r="F17" s="27">
        <f>+Proyección!J34</f>
        <v>802404.40710000007</v>
      </c>
      <c r="G17" s="17">
        <f>+Proyección!L34</f>
        <v>993984.58560000011</v>
      </c>
      <c r="H17" s="27">
        <f>+Proyección!L34/12*9</f>
        <v>745488.43920000002</v>
      </c>
      <c r="I17" s="3"/>
      <c r="J17" s="3">
        <f>+Proyección!Q34</f>
        <v>0</v>
      </c>
      <c r="K17" s="3">
        <f>+Proyección!S34</f>
        <v>0</v>
      </c>
      <c r="L17" s="3">
        <f>+Proyección!U34</f>
        <v>0</v>
      </c>
      <c r="M17" s="3">
        <f>+Proyección!W34</f>
        <v>0</v>
      </c>
      <c r="N17" s="3">
        <f>+Proyección!Y34</f>
        <v>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row>
    <row r="18" spans="2:74" ht="13.5" outlineLevel="1" x14ac:dyDescent="0.25">
      <c r="B18" s="2" t="str">
        <f>IF($B$11="","",+$B$11)</f>
        <v>Otros</v>
      </c>
      <c r="C18" s="302">
        <f>+C19-SUM(C15:C17)</f>
        <v>1791221.6476999968</v>
      </c>
      <c r="D18" s="27">
        <f t="shared" ref="D18" si="2">+D19-SUM(D15:D17)</f>
        <v>2935883.2998000085</v>
      </c>
      <c r="E18" s="27">
        <f t="shared" ref="E18" si="3">+E19-SUM(E15:E17)</f>
        <v>267072.13109999895</v>
      </c>
      <c r="F18" s="27">
        <f t="shared" ref="F18" si="4">+F19-SUM(F15:F17)</f>
        <v>1249671.1611000001</v>
      </c>
      <c r="G18" s="17"/>
      <c r="H18" s="27">
        <f>+H19-SUM(H15:H17)</f>
        <v>795844.61406891048</v>
      </c>
      <c r="I18" s="3"/>
      <c r="J18" s="39"/>
      <c r="K18" s="39"/>
      <c r="L18" s="39"/>
      <c r="M18" s="39"/>
      <c r="N18" s="39"/>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2:74" ht="12.75" outlineLevel="1" x14ac:dyDescent="0.2">
      <c r="B19" s="2" t="s">
        <v>0</v>
      </c>
      <c r="C19" s="4">
        <v>88797001</v>
      </c>
      <c r="D19" s="4">
        <v>111018454</v>
      </c>
      <c r="E19" s="4">
        <v>99678944</v>
      </c>
      <c r="F19" s="4">
        <v>92240869</v>
      </c>
      <c r="G19" s="18">
        <f>+SUM(G15:G17)</f>
        <v>95246174.674574807</v>
      </c>
      <c r="H19" s="4">
        <f>+'&gt;&gt; PL Fuente EEFF sep 14'!H7</f>
        <v>72230475.620000005</v>
      </c>
      <c r="I19" s="3"/>
      <c r="J19" s="40"/>
      <c r="K19" s="40"/>
      <c r="L19" s="40"/>
      <c r="M19" s="40"/>
      <c r="N19" s="4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2:74" ht="12.75" x14ac:dyDescent="0.2">
      <c r="B20" s="10" t="s">
        <v>0</v>
      </c>
      <c r="C20" s="5">
        <f>+SUM(C15:C19)-C19</f>
        <v>88797001</v>
      </c>
      <c r="D20" s="5">
        <f t="shared" ref="D20:H20" si="5">+SUM(D15:D19)-D19</f>
        <v>111018454</v>
      </c>
      <c r="E20" s="5">
        <f t="shared" si="5"/>
        <v>99678944</v>
      </c>
      <c r="F20" s="5">
        <f t="shared" si="5"/>
        <v>92240869</v>
      </c>
      <c r="G20" s="19">
        <f t="shared" si="5"/>
        <v>95246174.674574807</v>
      </c>
      <c r="H20" s="5">
        <f t="shared" si="5"/>
        <v>72230475.620000005</v>
      </c>
      <c r="I20" s="3"/>
      <c r="J20" s="5">
        <f>+SUM(J15:J19)</f>
        <v>99639681.586560383</v>
      </c>
      <c r="K20" s="5">
        <f>+SUM(K15:K19)</f>
        <v>106848776.24324001</v>
      </c>
      <c r="L20" s="5">
        <f>+SUM(L15:L19)</f>
        <v>116012385.22570616</v>
      </c>
      <c r="M20" s="5">
        <f>+SUM(M15:M19)</f>
        <v>126927895.82235199</v>
      </c>
      <c r="N20" s="5">
        <f>+SUM(N15:N19)</f>
        <v>139277819.02716342</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2:74" ht="3.75" customHeight="1" x14ac:dyDescent="0.2">
      <c r="B21" s="8"/>
      <c r="G21" s="16"/>
    </row>
    <row r="22" spans="2:74" ht="13.5" outlineLevel="1" x14ac:dyDescent="0.25">
      <c r="B22" s="2" t="str">
        <f>IF($B$8="","",+$B$8)</f>
        <v>Lubricantes</v>
      </c>
      <c r="C22" s="303">
        <f>+C8-C15</f>
        <v>4213880.1899703182</v>
      </c>
      <c r="D22" s="303">
        <f t="shared" ref="D22:F22" si="6">+D8-D15</f>
        <v>3350442.0257037804</v>
      </c>
      <c r="E22" s="303">
        <f t="shared" si="6"/>
        <v>2899118.8045478296</v>
      </c>
      <c r="F22" s="303">
        <f t="shared" si="6"/>
        <v>3269026.9249993861</v>
      </c>
      <c r="G22" s="304">
        <f t="shared" ref="G22:H24" si="7">+G8-G15</f>
        <v>3819956.8553964011</v>
      </c>
      <c r="H22" s="303">
        <f t="shared" si="7"/>
        <v>2864967.6415473018</v>
      </c>
      <c r="I22" s="3"/>
      <c r="J22" s="3">
        <f t="shared" ref="J22:N24" si="8">+J8-J15</f>
        <v>4201952.5409360435</v>
      </c>
      <c r="K22" s="3">
        <f t="shared" si="8"/>
        <v>5499527.6024819724</v>
      </c>
      <c r="L22" s="3">
        <f t="shared" si="8"/>
        <v>6945224.4008636847</v>
      </c>
      <c r="M22" s="3">
        <f t="shared" si="8"/>
        <v>8630519.0516051576</v>
      </c>
      <c r="N22" s="3">
        <f t="shared" si="8"/>
        <v>10721564.740031388</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2:74" ht="13.5" outlineLevel="1" x14ac:dyDescent="0.25">
      <c r="B23" s="2" t="str">
        <f>IF($B$9="","",+$B$9)</f>
        <v xml:space="preserve">Proceso </v>
      </c>
      <c r="C23" s="303">
        <f t="shared" ref="C23:F23" si="9">+C9-C16</f>
        <v>11370634.679029673</v>
      </c>
      <c r="D23" s="303">
        <f t="shared" si="9"/>
        <v>16950607.631496266</v>
      </c>
      <c r="E23" s="303">
        <f t="shared" si="9"/>
        <v>12633303.415852144</v>
      </c>
      <c r="F23" s="303">
        <f t="shared" si="9"/>
        <v>10055393.901500598</v>
      </c>
      <c r="G23" s="304">
        <f t="shared" si="7"/>
        <v>7806538.1028288007</v>
      </c>
      <c r="H23" s="303">
        <f t="shared" ref="H23" si="10">+H9-H16</f>
        <v>5854903.5771216005</v>
      </c>
      <c r="I23" s="3"/>
      <c r="J23" s="3">
        <f t="shared" si="8"/>
        <v>8196865.0079702586</v>
      </c>
      <c r="K23" s="3">
        <f t="shared" si="8"/>
        <v>10559480.256024674</v>
      </c>
      <c r="L23" s="3">
        <f t="shared" si="8"/>
        <v>12244038.216258913</v>
      </c>
      <c r="M23" s="3">
        <f t="shared" si="8"/>
        <v>13609061.115218773</v>
      </c>
      <c r="N23" s="3">
        <f t="shared" si="8"/>
        <v>15103592.664208338</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row>
    <row r="24" spans="2:74" ht="13.5" outlineLevel="1" x14ac:dyDescent="0.25">
      <c r="B24" s="2" t="str">
        <f>IF($B$10="","",+$B$10)</f>
        <v>Envases</v>
      </c>
      <c r="C24" s="303">
        <f t="shared" ref="C24:F24" si="11">+C10-C17</f>
        <v>-781324.89890000003</v>
      </c>
      <c r="D24" s="303">
        <f t="shared" si="11"/>
        <v>-144269.4057</v>
      </c>
      <c r="E24" s="303">
        <f t="shared" si="11"/>
        <v>-88605.861600000178</v>
      </c>
      <c r="F24" s="303">
        <f t="shared" si="11"/>
        <v>-58628.924800000037</v>
      </c>
      <c r="G24" s="304">
        <f t="shared" si="7"/>
        <v>-294462.23893333343</v>
      </c>
      <c r="H24" s="303">
        <f t="shared" ref="H24" si="12">+H10-H17</f>
        <v>-220846.67920000001</v>
      </c>
      <c r="I24" s="3"/>
      <c r="J24" s="70">
        <f t="shared" si="8"/>
        <v>0</v>
      </c>
      <c r="K24" s="70">
        <f t="shared" si="8"/>
        <v>0</v>
      </c>
      <c r="L24" s="70">
        <f t="shared" si="8"/>
        <v>0</v>
      </c>
      <c r="M24" s="70">
        <f t="shared" si="8"/>
        <v>0</v>
      </c>
      <c r="N24" s="70">
        <f t="shared" si="8"/>
        <v>0</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2:74" ht="13.5" outlineLevel="1" x14ac:dyDescent="0.25">
      <c r="B25" s="2" t="str">
        <f>IF($B$11="","",+$B$11)</f>
        <v>Otros</v>
      </c>
      <c r="C25" s="303">
        <f t="shared" ref="C25:F25" si="13">+C11-C18</f>
        <v>-111862.9700999856</v>
      </c>
      <c r="D25" s="303">
        <f t="shared" si="13"/>
        <v>-15758.251500040293</v>
      </c>
      <c r="E25" s="303">
        <f t="shared" si="13"/>
        <v>-326043.35879996419</v>
      </c>
      <c r="F25" s="303">
        <f t="shared" si="13"/>
        <v>-1334731.9016999751</v>
      </c>
      <c r="G25" s="304"/>
      <c r="H25" s="303">
        <f t="shared" ref="H25:H26" si="14">+H11-H18</f>
        <v>-863806.31946891546</v>
      </c>
      <c r="I25" s="3"/>
      <c r="J25" s="39"/>
      <c r="K25" s="39"/>
      <c r="L25" s="39"/>
      <c r="M25" s="39"/>
      <c r="N25" s="39"/>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2:74" ht="12.75" outlineLevel="1" x14ac:dyDescent="0.2">
      <c r="B26" s="2" t="s">
        <v>1</v>
      </c>
      <c r="C26" s="4">
        <f>+C12-C19</f>
        <v>14691327</v>
      </c>
      <c r="D26" s="4">
        <f t="shared" ref="D26:G26" si="15">+D12-D19</f>
        <v>20141022</v>
      </c>
      <c r="E26" s="4">
        <f t="shared" si="15"/>
        <v>15117773</v>
      </c>
      <c r="F26" s="4">
        <f t="shared" si="15"/>
        <v>11931060</v>
      </c>
      <c r="G26" s="18">
        <f t="shared" si="15"/>
        <v>11332032.719291851</v>
      </c>
      <c r="H26" s="4">
        <f t="shared" si="14"/>
        <v>7635218.2199999988</v>
      </c>
      <c r="I26" s="3"/>
      <c r="J26" s="40"/>
      <c r="K26" s="40"/>
      <c r="L26" s="40"/>
      <c r="M26" s="40"/>
      <c r="N26" s="40"/>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row>
    <row r="27" spans="2:74" ht="12.75" x14ac:dyDescent="0.2">
      <c r="B27" s="131" t="s">
        <v>1</v>
      </c>
      <c r="C27" s="132">
        <f>+SUM(C22:C26)-C26</f>
        <v>14691327.000000007</v>
      </c>
      <c r="D27" s="132">
        <f t="shared" ref="D27:H27" si="16">+SUM(D22:D26)-D26</f>
        <v>20141022.000000007</v>
      </c>
      <c r="E27" s="132">
        <f t="shared" si="16"/>
        <v>15117773.000000007</v>
      </c>
      <c r="F27" s="132">
        <f t="shared" si="16"/>
        <v>11931060.000000007</v>
      </c>
      <c r="G27" s="133">
        <f t="shared" si="16"/>
        <v>11332032.719291866</v>
      </c>
      <c r="H27" s="132">
        <f t="shared" si="16"/>
        <v>7635218.2199999876</v>
      </c>
      <c r="I27" s="3"/>
      <c r="J27" s="132">
        <f>+SUM(J22:J26)</f>
        <v>12398817.548906302</v>
      </c>
      <c r="K27" s="132">
        <f>+SUM(K22:K26)</f>
        <v>16059007.858506646</v>
      </c>
      <c r="L27" s="132">
        <f>+SUM(L22:L26)</f>
        <v>19189262.617122598</v>
      </c>
      <c r="M27" s="132">
        <f>+SUM(M22:M26)</f>
        <v>22239580.166823931</v>
      </c>
      <c r="N27" s="132">
        <f>+SUM(N22:N26)</f>
        <v>25825157.404239725</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row>
    <row r="28" spans="2:74" ht="3.75" customHeight="1" x14ac:dyDescent="0.2">
      <c r="B28" s="8"/>
      <c r="G28" s="16"/>
    </row>
    <row r="29" spans="2:74" ht="13.5" outlineLevel="1" x14ac:dyDescent="0.25">
      <c r="B29" s="2" t="str">
        <f>IF($B$8="","",+$B$8)</f>
        <v>Lubricantes</v>
      </c>
      <c r="C29" s="305">
        <f>+C22/C8</f>
        <v>0.31966590866954814</v>
      </c>
      <c r="D29" s="305">
        <f t="shared" ref="D29:F29" si="17">+D22/D8</f>
        <v>0.26155305830065323</v>
      </c>
      <c r="E29" s="305">
        <f t="shared" si="17"/>
        <v>0.24437717040571805</v>
      </c>
      <c r="F29" s="305">
        <f t="shared" si="17"/>
        <v>0.2499851340975949</v>
      </c>
      <c r="G29" s="306">
        <f t="shared" ref="G29:H32" si="18">+G22/G8</f>
        <v>0.2205823889752847</v>
      </c>
      <c r="H29" s="305">
        <f t="shared" si="18"/>
        <v>0.22058238897528476</v>
      </c>
      <c r="I29" s="7"/>
      <c r="J29" s="7">
        <f t="shared" ref="J29:N31" si="19">+J22/J8</f>
        <v>0.22058238897528482</v>
      </c>
      <c r="K29" s="7">
        <f t="shared" si="19"/>
        <v>0.2358650872306714</v>
      </c>
      <c r="L29" s="7">
        <f t="shared" si="19"/>
        <v>0.2433566059833118</v>
      </c>
      <c r="M29" s="7">
        <f t="shared" si="19"/>
        <v>0.2470656422284917</v>
      </c>
      <c r="N29" s="7">
        <f t="shared" si="19"/>
        <v>0.25075649692345015</v>
      </c>
      <c r="O29" s="7"/>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2:74" ht="13.5" outlineLevel="1" x14ac:dyDescent="0.25">
      <c r="B30" s="2" t="str">
        <f>IF($B$9="","",+$B$9)</f>
        <v xml:space="preserve">Proceso </v>
      </c>
      <c r="C30" s="305">
        <f t="shared" ref="C30:F30" si="20">+C23/C9</f>
        <v>0.12849330400909043</v>
      </c>
      <c r="D30" s="305">
        <f t="shared" si="20"/>
        <v>0.14742530288872041</v>
      </c>
      <c r="E30" s="305">
        <f t="shared" si="20"/>
        <v>0.12342337708913306</v>
      </c>
      <c r="F30" s="305">
        <f t="shared" si="20"/>
        <v>0.11118755059157362</v>
      </c>
      <c r="G30" s="306">
        <f t="shared" si="18"/>
        <v>8.8148624301250991E-2</v>
      </c>
      <c r="H30" s="305">
        <f t="shared" si="18"/>
        <v>8.8148624301250991E-2</v>
      </c>
      <c r="I30" s="7"/>
      <c r="J30" s="7">
        <f t="shared" si="19"/>
        <v>8.8148624301251158E-2</v>
      </c>
      <c r="K30" s="7">
        <f t="shared" si="19"/>
        <v>0.10602806304044213</v>
      </c>
      <c r="L30" s="7">
        <f t="shared" si="19"/>
        <v>0.11479249379494762</v>
      </c>
      <c r="M30" s="7">
        <f t="shared" si="19"/>
        <v>0.11913174627634512</v>
      </c>
      <c r="N30" s="7">
        <f t="shared" si="19"/>
        <v>0.12344972791224557</v>
      </c>
      <c r="O30" s="7"/>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2:74" ht="13.5" outlineLevel="1" x14ac:dyDescent="0.25">
      <c r="B31" s="2" t="str">
        <f>IF($B$10="","",+$B$10)</f>
        <v>Envases</v>
      </c>
      <c r="C31" s="305">
        <f t="shared" ref="C31:F31" si="21">+C24/C10</f>
        <v>-5.7965881528106351</v>
      </c>
      <c r="D31" s="305">
        <f t="shared" si="21"/>
        <v>-0.31921442484909462</v>
      </c>
      <c r="E31" s="305">
        <f t="shared" si="21"/>
        <v>-0.13955182835593377</v>
      </c>
      <c r="F31" s="305">
        <f t="shared" si="21"/>
        <v>-7.8826105720371409E-2</v>
      </c>
      <c r="G31" s="306">
        <f t="shared" si="18"/>
        <v>-0.42094757992577653</v>
      </c>
      <c r="H31" s="305">
        <f t="shared" si="18"/>
        <v>-0.42094757992577642</v>
      </c>
      <c r="I31" s="7"/>
      <c r="J31" s="7"/>
      <c r="K31" s="7"/>
      <c r="L31" s="7"/>
      <c r="M31" s="7"/>
      <c r="N31" s="7"/>
      <c r="O31" s="7"/>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row>
    <row r="32" spans="2:74" ht="13.5" outlineLevel="1" x14ac:dyDescent="0.25">
      <c r="B32" s="2" t="str">
        <f>IF($B$11="","",+$B$11)</f>
        <v>Otros</v>
      </c>
      <c r="C32" s="305">
        <f t="shared" ref="C32:F32" si="22">+C25/C11</f>
        <v>-6.6610529121658588E-2</v>
      </c>
      <c r="D32" s="305">
        <f t="shared" si="22"/>
        <v>-5.3964303717795904E-3</v>
      </c>
      <c r="E32" s="305">
        <f t="shared" si="22"/>
        <v>5.5288548588273052</v>
      </c>
      <c r="F32" s="305">
        <f t="shared" si="22"/>
        <v>15.69151517239867</v>
      </c>
      <c r="G32" s="306"/>
      <c r="H32" s="305">
        <f t="shared" si="18"/>
        <v>12.710191929186816</v>
      </c>
      <c r="I32" s="7"/>
      <c r="J32" s="248"/>
      <c r="K32" s="248"/>
      <c r="L32" s="248"/>
      <c r="M32" s="248"/>
      <c r="N32" s="248"/>
      <c r="O32" s="7"/>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row>
    <row r="33" spans="2:74" ht="13.5" outlineLevel="1" x14ac:dyDescent="0.25">
      <c r="B33" s="2" t="s">
        <v>169</v>
      </c>
      <c r="C33" s="9">
        <f>+C26/C12</f>
        <v>0.14196119778841146</v>
      </c>
      <c r="D33" s="9">
        <f t="shared" ref="D33:F33" si="23">+D26/D12</f>
        <v>0.15356131797903796</v>
      </c>
      <c r="E33" s="9">
        <f>+E26/E12</f>
        <v>0.13169168417943519</v>
      </c>
      <c r="F33" s="9">
        <f t="shared" si="23"/>
        <v>0.11453239000690868</v>
      </c>
      <c r="G33" s="20">
        <f>+G26/G13</f>
        <v>0.10632598348566318</v>
      </c>
      <c r="H33" s="9">
        <f>+H26/H12</f>
        <v>9.5600724828060896E-2</v>
      </c>
      <c r="I33" s="7"/>
      <c r="J33" s="226"/>
      <c r="K33" s="226"/>
      <c r="L33" s="226"/>
      <c r="M33" s="226"/>
      <c r="N33" s="226"/>
      <c r="O33" s="7"/>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2:74" ht="13.5" x14ac:dyDescent="0.25">
      <c r="B34" s="10" t="s">
        <v>2</v>
      </c>
      <c r="C34" s="14">
        <f>+C27/C13</f>
        <v>0.14196119778841154</v>
      </c>
      <c r="D34" s="14">
        <f>+D27/D13</f>
        <v>0.15356131797903802</v>
      </c>
      <c r="E34" s="14">
        <f>+E27/E13</f>
        <v>0.13169168417943528</v>
      </c>
      <c r="F34" s="14">
        <f>+F27/F13</f>
        <v>0.11453239000690875</v>
      </c>
      <c r="G34" s="21">
        <f>+G27/G13</f>
        <v>0.10632598348566331</v>
      </c>
      <c r="H34" s="14">
        <f>+H27/H13</f>
        <v>9.5600724828060757E-2</v>
      </c>
      <c r="I34" s="3"/>
      <c r="J34" s="14">
        <f>+J27/J13</f>
        <v>0.11066568763934252</v>
      </c>
      <c r="K34" s="14">
        <f>+K27/K13</f>
        <v>0.13065899752299279</v>
      </c>
      <c r="L34" s="14">
        <f>+L27/L13</f>
        <v>0.14193068592943497</v>
      </c>
      <c r="M34" s="14">
        <f>+M27/M13</f>
        <v>0.14909134862909196</v>
      </c>
      <c r="N34" s="14">
        <f>+N27/N13</f>
        <v>0.15641848476892567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2:74" ht="3.75" customHeight="1" x14ac:dyDescent="0.2">
      <c r="B35" s="8"/>
      <c r="G35" s="16"/>
    </row>
    <row r="36" spans="2:74" ht="13.5" outlineLevel="1" x14ac:dyDescent="0.25">
      <c r="B36" s="2" t="str">
        <f>IF($B$8="","",+$B$8)</f>
        <v>Lubricantes</v>
      </c>
      <c r="C36" s="248"/>
      <c r="D36" s="305">
        <f t="shared" ref="D36:F39" si="24">+(D8/C8)-1</f>
        <v>-2.8245760178821411E-2</v>
      </c>
      <c r="E36" s="305">
        <f t="shared" si="24"/>
        <v>-7.3888928780776686E-2</v>
      </c>
      <c r="F36" s="305">
        <f t="shared" si="24"/>
        <v>0.10229778166655845</v>
      </c>
      <c r="G36" s="306">
        <f t="shared" ref="G36:G38" si="25">+(G8/F8)-1</f>
        <v>0.32429063362072008</v>
      </c>
      <c r="H36" s="248"/>
      <c r="I36" s="3"/>
      <c r="J36" s="7">
        <f>+(J8/G8)-1</f>
        <v>0.10000000000000009</v>
      </c>
      <c r="K36" s="7">
        <f t="shared" ref="K36:N38" si="26">+(K8/J8)-1</f>
        <v>0.22399999999999998</v>
      </c>
      <c r="L36" s="7">
        <f t="shared" si="26"/>
        <v>0.22399999999999998</v>
      </c>
      <c r="M36" s="7">
        <f t="shared" si="26"/>
        <v>0.22399999999999975</v>
      </c>
      <c r="N36" s="7">
        <f t="shared" si="26"/>
        <v>0.22399999999999998</v>
      </c>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2:74" ht="13.5" outlineLevel="1" x14ac:dyDescent="0.25">
      <c r="B37" s="2" t="str">
        <f>IF($B$9="","",+$B$9)</f>
        <v xml:space="preserve">Proceso </v>
      </c>
      <c r="C37" s="248"/>
      <c r="D37" s="305">
        <f t="shared" si="24"/>
        <v>0.29929878480484429</v>
      </c>
      <c r="E37" s="305">
        <f t="shared" si="24"/>
        <v>-0.10976173184108751</v>
      </c>
      <c r="F37" s="305">
        <f t="shared" si="24"/>
        <v>-0.11646568088285314</v>
      </c>
      <c r="G37" s="306">
        <f t="shared" si="25"/>
        <v>-2.0735479336772888E-2</v>
      </c>
      <c r="H37" s="248"/>
      <c r="I37" s="3"/>
      <c r="J37" s="227">
        <f>+(J9/G9)-1</f>
        <v>5.0000000000000044E-2</v>
      </c>
      <c r="K37" s="7">
        <f t="shared" si="26"/>
        <v>7.0999999999999952E-2</v>
      </c>
      <c r="L37" s="7">
        <f t="shared" si="26"/>
        <v>7.0999999999999952E-2</v>
      </c>
      <c r="M37" s="7">
        <f t="shared" si="26"/>
        <v>7.1000000000000174E-2</v>
      </c>
      <c r="N37" s="7">
        <f t="shared" si="26"/>
        <v>7.0999999999999952E-2</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2:74" ht="13.5" outlineLevel="1" x14ac:dyDescent="0.25">
      <c r="B38" s="2" t="str">
        <f>IF($B$10="","",+$B$10)</f>
        <v>Envases</v>
      </c>
      <c r="C38" s="248"/>
      <c r="D38" s="305">
        <f t="shared" si="24"/>
        <v>2.3529919823365799</v>
      </c>
      <c r="E38" s="305">
        <f t="shared" si="24"/>
        <v>0.40486692407145353</v>
      </c>
      <c r="F38" s="305">
        <f t="shared" si="24"/>
        <v>0.17142620778128337</v>
      </c>
      <c r="G38" s="306">
        <f t="shared" si="25"/>
        <v>-5.9497975782272339E-2</v>
      </c>
      <c r="H38" s="248"/>
      <c r="I38" s="3"/>
      <c r="J38" s="227"/>
      <c r="K38" s="7"/>
      <c r="L38" s="7"/>
      <c r="M38" s="7"/>
      <c r="N38" s="7"/>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2:74" ht="13.5" outlineLevel="1" x14ac:dyDescent="0.25">
      <c r="B39" s="2" t="str">
        <f>IF($B$11="","",+$B$11)</f>
        <v>Otros</v>
      </c>
      <c r="C39" s="248"/>
      <c r="D39" s="305">
        <f t="shared" si="24"/>
        <v>0.73883345306146819</v>
      </c>
      <c r="E39" s="305">
        <f t="shared" si="24"/>
        <v>-1.0201947610888433</v>
      </c>
      <c r="F39" s="305">
        <f t="shared" si="24"/>
        <v>0.44241088268923945</v>
      </c>
      <c r="G39" s="306"/>
      <c r="H39" s="248"/>
      <c r="I39" s="3"/>
      <c r="J39" s="249"/>
      <c r="K39" s="248"/>
      <c r="L39" s="248"/>
      <c r="M39" s="248"/>
      <c r="N39" s="24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2:74" ht="13.5" outlineLevel="1" x14ac:dyDescent="0.25">
      <c r="B40" s="2" t="str">
        <f>+B12</f>
        <v xml:space="preserve">Ventas  </v>
      </c>
      <c r="C40" s="226"/>
      <c r="D40" s="307">
        <f>+(D12/C12)-1</f>
        <v>0.26738424066528554</v>
      </c>
      <c r="E40" s="307">
        <f t="shared" ref="E40:F40" si="27">+(E12/D12)-1</f>
        <v>-0.12475468413734747</v>
      </c>
      <c r="F40" s="307">
        <f t="shared" si="27"/>
        <v>-9.2553064910384175E-2</v>
      </c>
      <c r="G40" s="308">
        <f>+(G12/F12)-1</f>
        <v>2.3099105651261054E-2</v>
      </c>
      <c r="H40" s="226"/>
      <c r="I40" s="3"/>
      <c r="J40" s="228"/>
      <c r="K40" s="228"/>
      <c r="L40" s="228"/>
      <c r="M40" s="228"/>
      <c r="N40" s="228"/>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2:74" ht="13.5" x14ac:dyDescent="0.25">
      <c r="B41" s="10" t="s">
        <v>3</v>
      </c>
      <c r="C41" s="36"/>
      <c r="D41" s="309">
        <f>+(D13/C13)-1</f>
        <v>0.26738424066528554</v>
      </c>
      <c r="E41" s="309">
        <f>+(E13/D13)-1</f>
        <v>-0.12475468413734747</v>
      </c>
      <c r="F41" s="309">
        <f>+(F13/E13)-1</f>
        <v>-9.2553064910384175E-2</v>
      </c>
      <c r="G41" s="310">
        <f>+(G13/F13)-1</f>
        <v>2.3099105651261054E-2</v>
      </c>
      <c r="H41" s="309">
        <f>+(H13/G13)-1</f>
        <v>-0.25063766981132296</v>
      </c>
      <c r="I41" s="3"/>
      <c r="J41" s="6">
        <f>+(J13/(H13*2)-1)</f>
        <v>-0.29858182062550853</v>
      </c>
      <c r="K41" s="6">
        <f>+(K13/J13)-1</f>
        <v>9.7013839440475147E-2</v>
      </c>
      <c r="L41" s="6">
        <f>+(L13/K13)-1</f>
        <v>0.10002510281126598</v>
      </c>
      <c r="M41" s="6">
        <f>+(M13/L13)-1</f>
        <v>0.10329628646673283</v>
      </c>
      <c r="N41" s="6">
        <f>+(N13/M13)-1</f>
        <v>0.10682959094503652</v>
      </c>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2:74" ht="3.75" customHeight="1" x14ac:dyDescent="0.2">
      <c r="B42" s="8"/>
      <c r="G42" s="16"/>
    </row>
    <row r="43" spans="2:74" ht="12.75" outlineLevel="1" x14ac:dyDescent="0.2">
      <c r="B43" s="2" t="s">
        <v>133</v>
      </c>
      <c r="C43" s="3">
        <v>7869703</v>
      </c>
      <c r="D43" s="3">
        <v>8822498</v>
      </c>
      <c r="E43" s="3">
        <v>8417580</v>
      </c>
      <c r="F43" s="3">
        <v>8470758</v>
      </c>
      <c r="G43" s="17">
        <f>+H43/9*12</f>
        <v>7615474.4533333331</v>
      </c>
      <c r="H43" s="3">
        <f>+'&gt;&gt; PL Fuente EEFF sep 14'!H13</f>
        <v>5711605.8399999999</v>
      </c>
      <c r="I43" s="3"/>
      <c r="J43" s="84">
        <f>+J13*((H43-H53)/H$13)</f>
        <v>5299685.1089995522</v>
      </c>
      <c r="K43" s="3">
        <f>+K13*(J43/J$13)</f>
        <v>5813827.9092491111</v>
      </c>
      <c r="L43" s="3">
        <f>+L13*(K43/K$13)</f>
        <v>6395356.6435987623</v>
      </c>
      <c r="M43" s="3">
        <f>+M13*(L43/L$13)</f>
        <v>7055973.235512862</v>
      </c>
      <c r="N43" s="3">
        <f>+N13*(M43/M$13)</f>
        <v>7809759.9699818268</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row>
    <row r="44" spans="2:74" ht="12.75" outlineLevel="1" x14ac:dyDescent="0.2">
      <c r="B44" s="2" t="s">
        <v>136</v>
      </c>
      <c r="C44" s="3">
        <v>5469467</v>
      </c>
      <c r="D44" s="3">
        <v>6358539</v>
      </c>
      <c r="E44" s="3">
        <v>5291189</v>
      </c>
      <c r="F44" s="3">
        <v>5210745</v>
      </c>
      <c r="G44" s="17">
        <f t="shared" ref="G44" si="28">+H44/9*12</f>
        <v>4693032.6533333343</v>
      </c>
      <c r="H44" s="3">
        <f>+'&gt;&gt; PL Fuente EEFF sep 14'!H14</f>
        <v>3519774.49</v>
      </c>
      <c r="I44" s="3"/>
      <c r="J44" s="3">
        <f>+J13*(H44/H$13)</f>
        <v>4937667.6291691586</v>
      </c>
      <c r="K44" s="3">
        <f>+K13*(J44/J$13)</f>
        <v>5416689.7237558067</v>
      </c>
      <c r="L44" s="3">
        <f>+L13*(K44/K$13)</f>
        <v>5958494.6702712094</v>
      </c>
      <c r="M44" s="3">
        <f>+M13*(L44/L$13)</f>
        <v>6573985.0426420448</v>
      </c>
      <c r="N44" s="3">
        <f>+N13*(M44/M$13)</f>
        <v>7276281.1756262826</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2:74" ht="12.75" outlineLevel="1" x14ac:dyDescent="0.2">
      <c r="B45" s="2" t="s">
        <v>435</v>
      </c>
      <c r="C45" s="3"/>
      <c r="D45" s="3"/>
      <c r="E45" s="3"/>
      <c r="F45" s="3"/>
      <c r="G45" s="17"/>
      <c r="H45" s="3"/>
      <c r="I45" s="3">
        <v>1</v>
      </c>
      <c r="J45" s="3">
        <f>IF($I$45=1,'V. Activos'!I13,0)</f>
        <v>2244608.8456000001</v>
      </c>
      <c r="K45" s="3">
        <f>+J45*(1+'V. Activos'!$H$15)</f>
        <v>2278277.978284</v>
      </c>
      <c r="L45" s="3">
        <f>+K45*(1+'V. Activos'!$H$15)</f>
        <v>2312452.1479582596</v>
      </c>
      <c r="M45" s="3">
        <f>+L45*(1+'V. Activos'!$H$15)</f>
        <v>2347138.9301776332</v>
      </c>
      <c r="N45" s="3">
        <f>+M45*(1+'V. Activos'!$H$15)</f>
        <v>2382346.0141302976</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2:74" ht="12.75" x14ac:dyDescent="0.2">
      <c r="B46" s="10" t="s">
        <v>6</v>
      </c>
      <c r="C46" s="396">
        <f t="shared" ref="C46:D46" si="29">+SUM(C43:C44)</f>
        <v>13339170</v>
      </c>
      <c r="D46" s="396">
        <f t="shared" si="29"/>
        <v>15181037</v>
      </c>
      <c r="E46" s="396">
        <f t="shared" ref="E46:H46" si="30">+SUM(E43:E44)</f>
        <v>13708769</v>
      </c>
      <c r="F46" s="396">
        <f t="shared" si="30"/>
        <v>13681503</v>
      </c>
      <c r="G46" s="397">
        <f t="shared" si="30"/>
        <v>12308507.106666667</v>
      </c>
      <c r="H46" s="396">
        <f t="shared" si="30"/>
        <v>9231380.3300000001</v>
      </c>
      <c r="I46" s="3"/>
      <c r="J46" s="396">
        <f>+SUM(J43:J45)</f>
        <v>12481961.58376871</v>
      </c>
      <c r="K46" s="396">
        <f>+SUM(K43:K45)</f>
        <v>13508795.611288918</v>
      </c>
      <c r="L46" s="396">
        <f t="shared" ref="K46:N46" si="31">+SUM(L43:L45)</f>
        <v>14666303.461828232</v>
      </c>
      <c r="M46" s="396">
        <f t="shared" si="31"/>
        <v>15977097.208332539</v>
      </c>
      <c r="N46" s="396">
        <f t="shared" si="31"/>
        <v>17468387.159738407</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row>
    <row r="47" spans="2:74" ht="3.75" customHeight="1" x14ac:dyDescent="0.2">
      <c r="B47" s="8"/>
      <c r="G47" s="16"/>
    </row>
    <row r="48" spans="2:74" ht="12.75" x14ac:dyDescent="0.2">
      <c r="B48" s="131" t="s">
        <v>8</v>
      </c>
      <c r="C48" s="132">
        <f t="shared" ref="C48:H48" si="32">+C27-C46</f>
        <v>1352157.0000000075</v>
      </c>
      <c r="D48" s="132">
        <f t="shared" si="32"/>
        <v>4959985.0000000075</v>
      </c>
      <c r="E48" s="132">
        <f t="shared" si="32"/>
        <v>1409004.0000000075</v>
      </c>
      <c r="F48" s="132">
        <f t="shared" si="32"/>
        <v>-1750442.9999999925</v>
      </c>
      <c r="G48" s="133">
        <f t="shared" si="32"/>
        <v>-976474.38737480156</v>
      </c>
      <c r="H48" s="132">
        <f t="shared" si="32"/>
        <v>-1596162.1100000124</v>
      </c>
      <c r="I48" s="3"/>
      <c r="J48" s="132">
        <f>+J27-J46</f>
        <v>-83144.034862408414</v>
      </c>
      <c r="K48" s="132">
        <f>+K27-K46</f>
        <v>2550212.2472177278</v>
      </c>
      <c r="L48" s="132">
        <f>+L27-L46</f>
        <v>4522959.1552943662</v>
      </c>
      <c r="M48" s="132">
        <f>+M27-M46</f>
        <v>6262482.9584913924</v>
      </c>
      <c r="N48" s="132">
        <f>+N27-N46</f>
        <v>8356770.2445013188</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row>
    <row r="49" spans="2:74" ht="13.5" x14ac:dyDescent="0.25">
      <c r="B49" s="13" t="s">
        <v>7</v>
      </c>
      <c r="C49" s="14">
        <f t="shared" ref="C49:H49" si="33">+C48/C13</f>
        <v>1.3065792308481469E-2</v>
      </c>
      <c r="D49" s="14">
        <f t="shared" si="33"/>
        <v>3.7816444158407646E-2</v>
      </c>
      <c r="E49" s="14">
        <f t="shared" si="33"/>
        <v>1.2273905010715659E-2</v>
      </c>
      <c r="F49" s="14">
        <f t="shared" si="33"/>
        <v>-1.680340391891939E-2</v>
      </c>
      <c r="G49" s="21">
        <f t="shared" si="33"/>
        <v>-9.1620455180502075E-3</v>
      </c>
      <c r="H49" s="14">
        <f t="shared" si="33"/>
        <v>-1.9985578704139289E-2</v>
      </c>
      <c r="I49" s="3"/>
      <c r="J49" s="14">
        <f>+J48/J13</f>
        <v>-7.4210236216997404E-4</v>
      </c>
      <c r="K49" s="14">
        <f>+K48/K13</f>
        <v>2.0748988893222482E-2</v>
      </c>
      <c r="L49" s="14">
        <f>+L48/L13</f>
        <v>3.3453432169349623E-2</v>
      </c>
      <c r="M49" s="14">
        <f>+M48/M13</f>
        <v>4.1982898195219304E-2</v>
      </c>
      <c r="N49" s="14">
        <f>+N48/N13</f>
        <v>5.0615503276365124E-2</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2:74" ht="3.75" customHeight="1" x14ac:dyDescent="0.2">
      <c r="B50" s="8"/>
      <c r="G50" s="16"/>
    </row>
    <row r="51" spans="2:74" ht="12.75" outlineLevel="1" x14ac:dyDescent="0.2">
      <c r="B51" s="2" t="s">
        <v>50</v>
      </c>
      <c r="C51" s="3"/>
      <c r="D51" s="3">
        <f>-D93+C93</f>
        <v>0</v>
      </c>
      <c r="E51" s="3">
        <f>-E93+D93</f>
        <v>831730</v>
      </c>
      <c r="F51" s="3">
        <f>-F93+E93</f>
        <v>684217</v>
      </c>
      <c r="G51" s="17">
        <f>+H51/9*12</f>
        <v>327621.42666666704</v>
      </c>
      <c r="H51" s="3">
        <f>-H93+F93</f>
        <v>245716.0700000003</v>
      </c>
      <c r="I51" s="3"/>
      <c r="J51" s="55">
        <f>+Activos!J48</f>
        <v>121673.94239999985</v>
      </c>
      <c r="K51" s="55">
        <f>+Activos!K48</f>
        <v>237953.77892249977</v>
      </c>
      <c r="L51" s="55">
        <f>+Activos!L48</f>
        <v>211690.66011337491</v>
      </c>
      <c r="M51" s="55">
        <f>+Activos!M48</f>
        <v>322377.29218644381</v>
      </c>
      <c r="N51" s="55">
        <f>+Activos!N48</f>
        <v>280064.510795551</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row>
    <row r="52" spans="2:74" ht="12.75" outlineLevel="1" x14ac:dyDescent="0.2">
      <c r="B52" s="2" t="s">
        <v>388</v>
      </c>
      <c r="C52" s="3"/>
      <c r="D52" s="3">
        <f>-D99+C99-D103+C103</f>
        <v>15905</v>
      </c>
      <c r="E52" s="3">
        <f t="shared" ref="E52:F52" si="34">-E99+D99-E103+D103</f>
        <v>15905</v>
      </c>
      <c r="F52" s="3">
        <f t="shared" si="34"/>
        <v>16453</v>
      </c>
      <c r="G52" s="17">
        <f t="shared" ref="G52:G53" si="35">+H52/9*12</f>
        <v>19193.840000000004</v>
      </c>
      <c r="H52" s="3">
        <f>-H99+F99-H103+F103</f>
        <v>14395.380000000005</v>
      </c>
      <c r="I52" s="3"/>
      <c r="J52" s="317">
        <f>-J99+H99-J103+H103</f>
        <v>16500</v>
      </c>
      <c r="K52" s="317">
        <f>-K99+J99-K103+J103</f>
        <v>16500</v>
      </c>
      <c r="L52" s="317">
        <f t="shared" ref="L52:N52" si="36">-L99+K99-L103+K103</f>
        <v>16500</v>
      </c>
      <c r="M52" s="317">
        <f t="shared" si="36"/>
        <v>16500</v>
      </c>
      <c r="N52" s="317">
        <f t="shared" si="36"/>
        <v>16500</v>
      </c>
      <c r="O52" s="314"/>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row>
    <row r="53" spans="2:74" ht="12.75" outlineLevel="1" x14ac:dyDescent="0.2">
      <c r="B53" s="2" t="s">
        <v>49</v>
      </c>
      <c r="C53" s="301">
        <f>1273978.22+1200000</f>
        <v>2473978.2199999997</v>
      </c>
      <c r="D53" s="301">
        <f>1689401.18+1278400</f>
        <v>2967801.1799999997</v>
      </c>
      <c r="E53" s="301">
        <f>1792871.27+1334400</f>
        <v>3127271.27</v>
      </c>
      <c r="F53" s="338">
        <f>2133669.72+1190400</f>
        <v>3324069.72</v>
      </c>
      <c r="G53" s="337">
        <f t="shared" si="35"/>
        <v>2578360.3466666667</v>
      </c>
      <c r="H53" s="301">
        <f>1256970.26+(37600*2*9)</f>
        <v>1933770.26</v>
      </c>
      <c r="I53" s="3"/>
      <c r="J53" s="40"/>
      <c r="K53" s="40"/>
      <c r="L53" s="40"/>
      <c r="M53" s="40"/>
      <c r="N53" s="40"/>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2:74" ht="12.75" x14ac:dyDescent="0.2">
      <c r="B54" s="131" t="s">
        <v>51</v>
      </c>
      <c r="C54" s="132">
        <f t="shared" ref="C54:D54" si="37">+C48+SUM(C51:C53)</f>
        <v>3826135.2200000072</v>
      </c>
      <c r="D54" s="132">
        <f t="shared" si="37"/>
        <v>7943691.1800000072</v>
      </c>
      <c r="E54" s="132">
        <f t="shared" ref="E54:G54" si="38">+E48+SUM(E51:E53)</f>
        <v>5383910.270000007</v>
      </c>
      <c r="F54" s="132">
        <f t="shared" si="38"/>
        <v>2274296.7200000077</v>
      </c>
      <c r="G54" s="133">
        <f t="shared" si="38"/>
        <v>1948701.2259585322</v>
      </c>
      <c r="H54" s="132">
        <f>+H48+SUM(H51:H53)</f>
        <v>597719.59999998799</v>
      </c>
      <c r="I54" s="3"/>
      <c r="J54" s="132">
        <f>+J48+SUM(J51:J53)</f>
        <v>55029.90753759144</v>
      </c>
      <c r="K54" s="132">
        <f t="shared" ref="J54:N54" si="39">+K48+SUM(K51:K53)</f>
        <v>2804666.0261402274</v>
      </c>
      <c r="L54" s="132">
        <f t="shared" si="39"/>
        <v>4751149.8154077409</v>
      </c>
      <c r="M54" s="132">
        <f t="shared" si="39"/>
        <v>6601360.2506778361</v>
      </c>
      <c r="N54" s="132">
        <f t="shared" si="39"/>
        <v>8653334.7552968692</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2:74" ht="13.5" x14ac:dyDescent="0.25">
      <c r="B55" s="13" t="s">
        <v>52</v>
      </c>
      <c r="C55" s="14">
        <f t="shared" ref="C55:H55" si="40">+C54/C13</f>
        <v>3.6971659451295873E-2</v>
      </c>
      <c r="D55" s="14">
        <f t="shared" si="40"/>
        <v>6.0565133547804101E-2</v>
      </c>
      <c r="E55" s="14">
        <f t="shared" si="40"/>
        <v>4.6899514295343545E-2</v>
      </c>
      <c r="F55" s="14">
        <f t="shared" si="40"/>
        <v>2.1832145586936455E-2</v>
      </c>
      <c r="G55" s="21">
        <f t="shared" si="40"/>
        <v>1.828423721518397E-2</v>
      </c>
      <c r="H55" s="14">
        <f t="shared" si="40"/>
        <v>7.4840594410591045E-3</v>
      </c>
      <c r="I55" s="3"/>
      <c r="J55" s="14">
        <f>+J54/J13</f>
        <v>4.9116962439004397E-4</v>
      </c>
      <c r="K55" s="14">
        <f>+K54/K13</f>
        <v>2.2819270940711477E-2</v>
      </c>
      <c r="L55" s="14">
        <f>+L54/L13</f>
        <v>3.5141212338853513E-2</v>
      </c>
      <c r="M55" s="14">
        <f>+M54/M13</f>
        <v>4.4254688945443127E-2</v>
      </c>
      <c r="N55" s="14">
        <f>+N54/N13</f>
        <v>5.2411742915441324E-2</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2:74" ht="3.75" customHeight="1" x14ac:dyDescent="0.2">
      <c r="B56" s="8"/>
      <c r="G56" s="16"/>
    </row>
    <row r="57" spans="2:74" ht="12.75" outlineLevel="1" x14ac:dyDescent="0.2">
      <c r="B57" s="2" t="s">
        <v>9</v>
      </c>
      <c r="C57" s="3">
        <f>-13191-477781</f>
        <v>-490972</v>
      </c>
      <c r="D57" s="3">
        <f>-311084-542319</f>
        <v>-853403</v>
      </c>
      <c r="E57" s="3"/>
      <c r="F57" s="3">
        <v>-83729</v>
      </c>
      <c r="G57" s="17">
        <f>+H57/9*12</f>
        <v>-61317.213333333326</v>
      </c>
      <c r="H57" s="3">
        <f>+'&gt;&gt; PL Fuente EEFF sep 14'!H26</f>
        <v>-45987.909999999996</v>
      </c>
      <c r="I57" s="3"/>
      <c r="J57" s="70">
        <f>-Pasivos!D24</f>
        <v>0</v>
      </c>
      <c r="K57" s="70">
        <f>-Pasivos!E24</f>
        <v>0</v>
      </c>
      <c r="L57" s="70">
        <f>-Pasivos!F24</f>
        <v>0</v>
      </c>
      <c r="M57" s="70">
        <f>-Pasivos!G24</f>
        <v>0</v>
      </c>
      <c r="N57" s="70">
        <f>-Pasivos!H24</f>
        <v>0</v>
      </c>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2:74" ht="12.75" outlineLevel="1" x14ac:dyDescent="0.2">
      <c r="B58" s="2" t="s">
        <v>10</v>
      </c>
      <c r="C58" s="4">
        <v>156451</v>
      </c>
      <c r="D58" s="4">
        <v>105925</v>
      </c>
      <c r="E58" s="4">
        <f>90299+199408</f>
        <v>289707</v>
      </c>
      <c r="F58" s="4">
        <v>128739</v>
      </c>
      <c r="G58" s="18"/>
      <c r="H58" s="4"/>
      <c r="I58" s="3"/>
      <c r="J58" s="4"/>
      <c r="K58" s="4"/>
      <c r="L58" s="4"/>
      <c r="M58" s="4"/>
      <c r="N58" s="4"/>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2:74" ht="12.75" x14ac:dyDescent="0.2">
      <c r="B59" s="10" t="s">
        <v>11</v>
      </c>
      <c r="C59" s="5">
        <f t="shared" ref="C59:D59" si="41">+SUM(C57:C58)</f>
        <v>-334521</v>
      </c>
      <c r="D59" s="5">
        <f t="shared" si="41"/>
        <v>-747478</v>
      </c>
      <c r="E59" s="5">
        <f t="shared" ref="E59:H59" si="42">+SUM(E57:E58)</f>
        <v>289707</v>
      </c>
      <c r="F59" s="5">
        <f t="shared" si="42"/>
        <v>45010</v>
      </c>
      <c r="G59" s="19">
        <f t="shared" si="42"/>
        <v>-61317.213333333326</v>
      </c>
      <c r="H59" s="5">
        <f t="shared" si="42"/>
        <v>-45987.909999999996</v>
      </c>
      <c r="I59" s="3"/>
      <c r="J59" s="5">
        <f t="shared" ref="J59:N59" si="43">+SUM(J57:J58)</f>
        <v>0</v>
      </c>
      <c r="K59" s="5">
        <f t="shared" si="43"/>
        <v>0</v>
      </c>
      <c r="L59" s="5">
        <f t="shared" si="43"/>
        <v>0</v>
      </c>
      <c r="M59" s="5">
        <f t="shared" si="43"/>
        <v>0</v>
      </c>
      <c r="N59" s="5">
        <f t="shared" si="43"/>
        <v>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2:74" ht="3.75" customHeight="1" x14ac:dyDescent="0.2">
      <c r="B60" s="8"/>
      <c r="G60" s="16"/>
    </row>
    <row r="61" spans="2:74" ht="13.5" hidden="1" outlineLevel="2" x14ac:dyDescent="0.25">
      <c r="B61" s="23" t="s">
        <v>12</v>
      </c>
      <c r="C61" s="30">
        <v>-179214</v>
      </c>
      <c r="D61" s="30">
        <v>-250579</v>
      </c>
      <c r="E61" s="30">
        <v>-99401</v>
      </c>
      <c r="F61" s="30"/>
      <c r="G61" s="24"/>
      <c r="H61" s="30"/>
      <c r="I61" s="3"/>
      <c r="J61" s="42"/>
      <c r="K61" s="42"/>
      <c r="L61" s="42"/>
      <c r="M61" s="42"/>
      <c r="N61" s="42"/>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2:74" ht="12.75" outlineLevel="1" collapsed="1" x14ac:dyDescent="0.2">
      <c r="B62" s="2" t="s">
        <v>12</v>
      </c>
      <c r="C62" s="3">
        <f t="shared" ref="C62:F62" si="44">+SUM(C61:C61)</f>
        <v>-179214</v>
      </c>
      <c r="D62" s="3">
        <f t="shared" si="44"/>
        <v>-250579</v>
      </c>
      <c r="E62" s="3">
        <f t="shared" si="44"/>
        <v>-99401</v>
      </c>
      <c r="F62" s="3">
        <f t="shared" si="44"/>
        <v>0</v>
      </c>
      <c r="G62" s="17"/>
      <c r="H62" s="3">
        <f>+SUM(H61:H61)</f>
        <v>0</v>
      </c>
      <c r="I62" s="3"/>
      <c r="J62" s="39">
        <f>+SUM(J61:J61)</f>
        <v>0</v>
      </c>
      <c r="K62" s="39">
        <f>+SUM(K61:K61)</f>
        <v>0</v>
      </c>
      <c r="L62" s="39">
        <f>+SUM(L61:L61)</f>
        <v>0</v>
      </c>
      <c r="M62" s="39">
        <f>+SUM(M61:M61)</f>
        <v>0</v>
      </c>
      <c r="N62" s="39">
        <f>+SUM(N61:N61)</f>
        <v>0</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row>
    <row r="63" spans="2:74" ht="3" customHeight="1" x14ac:dyDescent="0.2">
      <c r="B63" s="8"/>
      <c r="G63" s="16"/>
    </row>
    <row r="64" spans="2:74" ht="13.5" hidden="1" outlineLevel="2" x14ac:dyDescent="0.25">
      <c r="B64" s="37" t="s">
        <v>48</v>
      </c>
      <c r="C64" s="30"/>
      <c r="D64" s="30"/>
      <c r="E64" s="30"/>
      <c r="F64" s="30">
        <v>93386</v>
      </c>
      <c r="G64" s="24">
        <f>+H64</f>
        <v>-223901.79</v>
      </c>
      <c r="H64" s="30">
        <f>+'&gt;&gt; PL Fuente EEFF sep 14'!H21</f>
        <v>-223901.79</v>
      </c>
      <c r="I64" s="3"/>
      <c r="J64" s="42"/>
      <c r="K64" s="42"/>
      <c r="L64" s="42"/>
      <c r="M64" s="42"/>
      <c r="N64" s="42"/>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row>
    <row r="65" spans="1:74" ht="12.75" outlineLevel="1" collapsed="1" x14ac:dyDescent="0.2">
      <c r="B65" s="2" t="s">
        <v>13</v>
      </c>
      <c r="C65" s="4">
        <f t="shared" ref="C65" si="45">+SUM(C64:C64)</f>
        <v>0</v>
      </c>
      <c r="D65" s="4">
        <f t="shared" ref="D65:H65" si="46">+SUM(D64:D64)</f>
        <v>0</v>
      </c>
      <c r="E65" s="4">
        <f t="shared" si="46"/>
        <v>0</v>
      </c>
      <c r="F65" s="4">
        <f t="shared" si="46"/>
        <v>93386</v>
      </c>
      <c r="G65" s="18">
        <f t="shared" si="46"/>
        <v>-223901.79</v>
      </c>
      <c r="H65" s="4">
        <f t="shared" si="46"/>
        <v>-223901.79</v>
      </c>
      <c r="I65" s="3"/>
      <c r="J65" s="40">
        <f>+SUM(J64:J64)</f>
        <v>0</v>
      </c>
      <c r="K65" s="40">
        <f>+SUM(K64:K64)</f>
        <v>0</v>
      </c>
      <c r="L65" s="40">
        <f>+SUM(L64:L64)</f>
        <v>0</v>
      </c>
      <c r="M65" s="40">
        <f>+SUM(M64:M64)</f>
        <v>0</v>
      </c>
      <c r="N65" s="40">
        <f>+SUM(N64:N64)</f>
        <v>0</v>
      </c>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row>
    <row r="66" spans="1:74" ht="12.75" x14ac:dyDescent="0.2">
      <c r="B66" s="8" t="s">
        <v>14</v>
      </c>
      <c r="C66" s="5">
        <f t="shared" ref="C66" si="47">+C62+C65</f>
        <v>-179214</v>
      </c>
      <c r="D66" s="5">
        <f t="shared" ref="D66:H66" si="48">+D62+D65</f>
        <v>-250579</v>
      </c>
      <c r="E66" s="5">
        <f t="shared" si="48"/>
        <v>-99401</v>
      </c>
      <c r="F66" s="5">
        <f t="shared" si="48"/>
        <v>93386</v>
      </c>
      <c r="G66" s="19">
        <f t="shared" si="48"/>
        <v>-223901.79</v>
      </c>
      <c r="H66" s="5">
        <f t="shared" si="48"/>
        <v>-223901.79</v>
      </c>
      <c r="I66" s="3"/>
      <c r="J66" s="71">
        <f>+J62+J65</f>
        <v>0</v>
      </c>
      <c r="K66" s="71">
        <f>+K62+K65</f>
        <v>0</v>
      </c>
      <c r="L66" s="71">
        <f>+L62+L65</f>
        <v>0</v>
      </c>
      <c r="M66" s="71">
        <f>+M62+M65</f>
        <v>0</v>
      </c>
      <c r="N66" s="71">
        <f>+N62+N65</f>
        <v>0</v>
      </c>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row>
    <row r="67" spans="1:74" ht="3.75" customHeight="1" x14ac:dyDescent="0.2">
      <c r="B67" s="8"/>
      <c r="G67" s="16"/>
    </row>
    <row r="68" spans="1:74" ht="12.75" x14ac:dyDescent="0.2">
      <c r="B68" s="131" t="s">
        <v>15</v>
      </c>
      <c r="C68" s="132">
        <f t="shared" ref="C68" si="49">+C48+C59+C66</f>
        <v>838422.00000000745</v>
      </c>
      <c r="D68" s="132">
        <f t="shared" ref="D68:H68" si="50">+D48+D59+D66</f>
        <v>3961928.0000000075</v>
      </c>
      <c r="E68" s="132">
        <f t="shared" si="50"/>
        <v>1599310.0000000075</v>
      </c>
      <c r="F68" s="132">
        <f t="shared" si="50"/>
        <v>-1612046.9999999925</v>
      </c>
      <c r="G68" s="133">
        <f t="shared" si="50"/>
        <v>-1261693.390708135</v>
      </c>
      <c r="H68" s="132">
        <f t="shared" si="50"/>
        <v>-1866051.8100000124</v>
      </c>
      <c r="I68" s="3"/>
      <c r="J68" s="132">
        <f>+J48+J59+J66</f>
        <v>-83144.034862408414</v>
      </c>
      <c r="K68" s="132">
        <f>+K48+K59+K66</f>
        <v>2550212.2472177278</v>
      </c>
      <c r="L68" s="132">
        <f>+L48+L59+L66</f>
        <v>4522959.1552943662</v>
      </c>
      <c r="M68" s="132">
        <f>+M48+M59+M66</f>
        <v>6262482.9584913924</v>
      </c>
      <c r="N68" s="132">
        <f>+N48+N59+N66</f>
        <v>8356770.2445013188</v>
      </c>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1:74" ht="13.5" x14ac:dyDescent="0.25">
      <c r="B69" s="13" t="s">
        <v>16</v>
      </c>
      <c r="C69" s="14">
        <f t="shared" ref="C69:H69" si="51">+C68/C13</f>
        <v>8.1016092945284373E-3</v>
      </c>
      <c r="D69" s="14">
        <f t="shared" si="51"/>
        <v>3.0206952031433913E-2</v>
      </c>
      <c r="E69" s="14">
        <f t="shared" si="51"/>
        <v>1.3931670188791266E-2</v>
      </c>
      <c r="F69" s="14">
        <f t="shared" si="51"/>
        <v>-1.5474869434355895E-2</v>
      </c>
      <c r="G69" s="21">
        <f t="shared" si="51"/>
        <v>-1.1838193018629648E-2</v>
      </c>
      <c r="H69" s="14">
        <f t="shared" si="51"/>
        <v>-2.3364873204988264E-2</v>
      </c>
      <c r="I69" s="3"/>
      <c r="J69" s="14">
        <f>+J68/J13</f>
        <v>-7.4210236216997404E-4</v>
      </c>
      <c r="K69" s="14">
        <f>+K68/K13</f>
        <v>2.0748988893222482E-2</v>
      </c>
      <c r="L69" s="14">
        <f>+L68/L13</f>
        <v>3.3453432169349623E-2</v>
      </c>
      <c r="M69" s="14">
        <f>+M68/M13</f>
        <v>4.1982898195219304E-2</v>
      </c>
      <c r="N69" s="14">
        <f>+N68/N13</f>
        <v>5.0615503276365124E-2</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row>
    <row r="70" spans="1:74" ht="3.75" customHeight="1" x14ac:dyDescent="0.2">
      <c r="B70" s="8"/>
      <c r="G70" s="16"/>
    </row>
    <row r="71" spans="1:74" ht="12.75" x14ac:dyDescent="0.2">
      <c r="B71" s="76" t="s">
        <v>17</v>
      </c>
      <c r="C71" s="72">
        <f>315836+85854</f>
        <v>401690</v>
      </c>
      <c r="D71" s="72">
        <f>1291041+17796</f>
        <v>1308837</v>
      </c>
      <c r="E71" s="72">
        <f>549548+386628</f>
        <v>936176</v>
      </c>
      <c r="F71" s="72">
        <v>372874</v>
      </c>
      <c r="G71" s="28">
        <v>0</v>
      </c>
      <c r="H71" s="29">
        <v>0</v>
      </c>
      <c r="I71" s="250">
        <v>0.35</v>
      </c>
      <c r="J71" s="72">
        <f>+IF(J68&lt;0,0,J68*$I$71)</f>
        <v>0</v>
      </c>
      <c r="K71" s="72">
        <f t="shared" ref="K71:N71" si="52">+IF(K68&lt;0,0,K68*$I$71)</f>
        <v>892574.28652620467</v>
      </c>
      <c r="L71" s="72">
        <f t="shared" si="52"/>
        <v>1583035.704353028</v>
      </c>
      <c r="M71" s="72">
        <f t="shared" si="52"/>
        <v>2191869.0354719874</v>
      </c>
      <c r="N71" s="72">
        <f t="shared" si="52"/>
        <v>2924869.5855754614</v>
      </c>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1:74" ht="12.75" x14ac:dyDescent="0.2">
      <c r="B72" s="131" t="s">
        <v>18</v>
      </c>
      <c r="C72" s="132">
        <f t="shared" ref="C72:D72" si="53">+C68-C71</f>
        <v>436732.00000000745</v>
      </c>
      <c r="D72" s="132">
        <f t="shared" si="53"/>
        <v>2653091.0000000075</v>
      </c>
      <c r="E72" s="132">
        <f t="shared" ref="E72:H72" si="54">+E68-E71</f>
        <v>663134.00000000745</v>
      </c>
      <c r="F72" s="132">
        <f t="shared" si="54"/>
        <v>-1984920.9999999925</v>
      </c>
      <c r="G72" s="133">
        <f t="shared" si="54"/>
        <v>-1261693.390708135</v>
      </c>
      <c r="H72" s="132">
        <f t="shared" si="54"/>
        <v>-1866051.8100000124</v>
      </c>
      <c r="I72" s="3"/>
      <c r="J72" s="132">
        <f t="shared" ref="J72:N72" si="55">+J68-J71</f>
        <v>-83144.034862408414</v>
      </c>
      <c r="K72" s="132">
        <f t="shared" si="55"/>
        <v>1657637.9606915233</v>
      </c>
      <c r="L72" s="132">
        <f t="shared" si="55"/>
        <v>2939923.4509413382</v>
      </c>
      <c r="M72" s="132">
        <f t="shared" si="55"/>
        <v>4070613.923019405</v>
      </c>
      <c r="N72" s="132">
        <f t="shared" si="55"/>
        <v>5431900.6589258574</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1:74" ht="13.5" x14ac:dyDescent="0.25">
      <c r="B73" s="13" t="s">
        <v>19</v>
      </c>
      <c r="C73" s="14">
        <f t="shared" ref="C73:H73" si="56">+C72/C13</f>
        <v>4.2201087643430422E-3</v>
      </c>
      <c r="D73" s="14">
        <f t="shared" si="56"/>
        <v>2.0227978037972699E-2</v>
      </c>
      <c r="E73" s="14">
        <f t="shared" si="56"/>
        <v>5.7765937679211459E-3</v>
      </c>
      <c r="F73" s="14">
        <f t="shared" si="56"/>
        <v>-1.9054279008311276E-2</v>
      </c>
      <c r="G73" s="22">
        <f t="shared" si="56"/>
        <v>-1.1838193018629648E-2</v>
      </c>
      <c r="H73" s="14">
        <f t="shared" si="56"/>
        <v>-2.3364873204988264E-2</v>
      </c>
      <c r="I73" s="3"/>
      <c r="J73" s="14">
        <f>+J72/J13</f>
        <v>-7.4210236216997404E-4</v>
      </c>
      <c r="K73" s="14">
        <f>+K72/K13</f>
        <v>1.3486842780594614E-2</v>
      </c>
      <c r="L73" s="14">
        <f>+L72/L13</f>
        <v>2.1744730910077257E-2</v>
      </c>
      <c r="M73" s="14">
        <f>+M72/M13</f>
        <v>2.7288883826892547E-2</v>
      </c>
      <c r="N73" s="14">
        <f>+N72/N13</f>
        <v>3.2900077129637328E-2</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1:74" ht="12.75" x14ac:dyDescent="0.2">
      <c r="C74" s="77"/>
      <c r="D74" s="77"/>
      <c r="E74" s="77"/>
      <c r="F74" s="77"/>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1:74" ht="12.75" x14ac:dyDescent="0.2">
      <c r="C75" s="77"/>
      <c r="D75" s="77"/>
      <c r="E75" s="77"/>
      <c r="F75" s="77"/>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row>
    <row r="76" spans="1:74" ht="12.75" x14ac:dyDescent="0.2">
      <c r="A76" s="1" t="s">
        <v>132</v>
      </c>
      <c r="B76" s="82" t="s">
        <v>135</v>
      </c>
      <c r="C76" s="415"/>
      <c r="D76" s="415"/>
      <c r="E76" s="415"/>
      <c r="F76" s="415"/>
      <c r="G76" s="415"/>
      <c r="H76" s="415"/>
      <c r="I76" s="3"/>
      <c r="J76" s="415" t="s">
        <v>60</v>
      </c>
      <c r="K76" s="415"/>
      <c r="L76" s="415"/>
      <c r="M76" s="415"/>
      <c r="N76" s="415"/>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row>
    <row r="77" spans="1:74" ht="27" customHeight="1" x14ac:dyDescent="0.2">
      <c r="B77" s="11" t="s">
        <v>5</v>
      </c>
      <c r="C77" s="11">
        <f t="shared" ref="C77:H77" si="57">+C6</f>
        <v>2010</v>
      </c>
      <c r="D77" s="11">
        <f t="shared" si="57"/>
        <v>2011</v>
      </c>
      <c r="E77" s="11">
        <f t="shared" si="57"/>
        <v>2012</v>
      </c>
      <c r="F77" s="11">
        <f t="shared" si="57"/>
        <v>2013</v>
      </c>
      <c r="G77" s="15" t="str">
        <f t="shared" si="57"/>
        <v>2014
anualizado</v>
      </c>
      <c r="H77" s="81" t="str">
        <f t="shared" si="57"/>
        <v xml:space="preserve">2014 Sep Real </v>
      </c>
      <c r="I77" s="12" t="s">
        <v>61</v>
      </c>
      <c r="J77" s="11">
        <f>+J6</f>
        <v>2015</v>
      </c>
      <c r="K77" s="11">
        <f>+K6</f>
        <v>2016</v>
      </c>
      <c r="L77" s="11">
        <f>+L6</f>
        <v>2017</v>
      </c>
      <c r="M77" s="11">
        <f>+M6</f>
        <v>2018</v>
      </c>
      <c r="N77" s="11">
        <f>+N6</f>
        <v>2019</v>
      </c>
      <c r="O77" s="12" t="s">
        <v>62</v>
      </c>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row>
    <row r="78" spans="1:74" ht="3.75" customHeight="1" x14ac:dyDescent="0.2">
      <c r="B78" s="8"/>
      <c r="G78" s="16"/>
    </row>
    <row r="79" spans="1:74" ht="12.75" outlineLevel="1" x14ac:dyDescent="0.2">
      <c r="B79" s="35" t="s">
        <v>20</v>
      </c>
      <c r="C79" s="3">
        <v>3274373</v>
      </c>
      <c r="D79" s="3">
        <v>801706</v>
      </c>
      <c r="E79" s="3">
        <v>5167082</v>
      </c>
      <c r="F79" s="3">
        <v>3870117</v>
      </c>
      <c r="G79" s="17"/>
      <c r="H79" s="3">
        <f>+'&gt;&gt; PL Fuente EEFF sep 14'!B8</f>
        <v>4672258.78</v>
      </c>
      <c r="I79" s="3"/>
      <c r="J79" s="3">
        <f>+J$13/360*J138</f>
        <v>3112180.5315407412</v>
      </c>
      <c r="K79" s="3">
        <f>+K$13/360*K138</f>
        <v>3414105.1139374073</v>
      </c>
      <c r="L79" s="3">
        <f>+L$13/360*L138</f>
        <v>3755601.3289674651</v>
      </c>
      <c r="M79" s="3">
        <f>+M$13/360*M138</f>
        <v>4143540.9996993309</v>
      </c>
      <c r="N79" s="3">
        <f>+N$13/360*N138</f>
        <v>4586193.7897611978</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row>
    <row r="80" spans="1:74" ht="12.75" outlineLevel="1" x14ac:dyDescent="0.2">
      <c r="B80" s="35" t="s">
        <v>317</v>
      </c>
      <c r="C80" s="55"/>
      <c r="D80" s="55"/>
      <c r="E80" s="55"/>
      <c r="F80" s="55"/>
      <c r="G80" s="17"/>
      <c r="H80" s="3">
        <f>+'&gt;&gt; PL Fuente EEFF sep 14'!B16</f>
        <v>500</v>
      </c>
      <c r="I80" s="3"/>
      <c r="J80" s="3">
        <v>0</v>
      </c>
      <c r="K80" s="3">
        <v>0</v>
      </c>
      <c r="L80" s="3">
        <v>0</v>
      </c>
      <c r="M80" s="3">
        <v>0</v>
      </c>
      <c r="N80" s="3">
        <v>0</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row>
    <row r="81" spans="2:74" ht="12.75" outlineLevel="1" x14ac:dyDescent="0.2">
      <c r="B81" s="35" t="s">
        <v>21</v>
      </c>
      <c r="C81" s="3">
        <v>17613410</v>
      </c>
      <c r="D81" s="3">
        <v>19245210</v>
      </c>
      <c r="E81" s="3">
        <v>9146013</v>
      </c>
      <c r="F81" s="3">
        <v>13532476</v>
      </c>
      <c r="G81" s="17"/>
      <c r="H81" s="3">
        <f>+'&gt;&gt; PL Fuente EEFF sep 14'!B9</f>
        <v>16014888.310000001</v>
      </c>
      <c r="I81" s="3"/>
      <c r="J81" s="3">
        <f t="shared" ref="J81:N82" si="58">+J$13/360*J139</f>
        <v>14004812.391933335</v>
      </c>
      <c r="K81" s="3">
        <f t="shared" si="58"/>
        <v>15363473.012718333</v>
      </c>
      <c r="L81" s="3">
        <f t="shared" si="58"/>
        <v>16900205.980353594</v>
      </c>
      <c r="M81" s="3">
        <f t="shared" si="58"/>
        <v>18645934.498646989</v>
      </c>
      <c r="N81" s="3">
        <f t="shared" si="58"/>
        <v>20637872.053925391</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row>
    <row r="82" spans="2:74" ht="12.75" outlineLevel="1" x14ac:dyDescent="0.2">
      <c r="B82" s="35" t="s">
        <v>22</v>
      </c>
      <c r="C82" s="3">
        <f>724509+90211</f>
        <v>814720</v>
      </c>
      <c r="D82" s="3">
        <f>325457+64123</f>
        <v>389580</v>
      </c>
      <c r="E82" s="3">
        <f>316021+65041</f>
        <v>381062</v>
      </c>
      <c r="F82" s="3">
        <f>309618+74553</f>
        <v>384171</v>
      </c>
      <c r="G82" s="17"/>
      <c r="H82" s="3">
        <f>+'&gt;&gt; PL Fuente EEFF sep 14'!B10+'&gt;&gt; PL Fuente EEFF sep 14'!B11</f>
        <v>356139.49</v>
      </c>
      <c r="I82" s="3"/>
      <c r="J82" s="3">
        <f t="shared" si="58"/>
        <v>622436.10630814824</v>
      </c>
      <c r="K82" s="3">
        <f t="shared" si="58"/>
        <v>682821.02278748143</v>
      </c>
      <c r="L82" s="3">
        <f t="shared" si="58"/>
        <v>751120.26579349302</v>
      </c>
      <c r="M82" s="3">
        <f t="shared" si="58"/>
        <v>828708.1999398662</v>
      </c>
      <c r="N82" s="3">
        <f t="shared" si="58"/>
        <v>917238.7579522396</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row>
    <row r="83" spans="2:74" ht="12.75" outlineLevel="1" x14ac:dyDescent="0.2">
      <c r="B83" s="33" t="s">
        <v>23</v>
      </c>
      <c r="C83" s="3">
        <v>11100442</v>
      </c>
      <c r="D83" s="3">
        <v>18300439</v>
      </c>
      <c r="E83" s="3">
        <v>19923317</v>
      </c>
      <c r="F83" s="3">
        <v>9639237</v>
      </c>
      <c r="G83" s="17"/>
      <c r="H83" s="3">
        <f>+'&gt;&gt; PL Fuente EEFF sep 14'!B12</f>
        <v>11471136.880000001</v>
      </c>
      <c r="I83" s="3"/>
      <c r="J83" s="3">
        <f>+J$20/360*J141</f>
        <v>11071075.731840042</v>
      </c>
      <c r="K83" s="3">
        <f>+K$20/360*K141</f>
        <v>11872086.24924889</v>
      </c>
      <c r="L83" s="3">
        <f>+L$20/360*L141</f>
        <v>12890265.025078464</v>
      </c>
      <c r="M83" s="3">
        <f>+M$20/360*M141</f>
        <v>14103099.535816887</v>
      </c>
      <c r="N83" s="3">
        <f>+N$20/360*N141</f>
        <v>15475313.22524038</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row>
    <row r="84" spans="2:74" ht="12.75" outlineLevel="1" x14ac:dyDescent="0.2">
      <c r="B84" s="33" t="s">
        <v>24</v>
      </c>
      <c r="C84" s="3">
        <f>1750606+3079439</f>
        <v>4830045</v>
      </c>
      <c r="D84" s="3">
        <f>1636979+2193736+1100</f>
        <v>3831815</v>
      </c>
      <c r="E84" s="3">
        <f>1663753+1997909+544</f>
        <v>3662206</v>
      </c>
      <c r="F84" s="3">
        <f>1508028+1023323</f>
        <v>2531351</v>
      </c>
      <c r="G84" s="17"/>
      <c r="H84" s="3">
        <f>+'&gt;&gt; PL Fuente EEFF sep 14'!B14+'&gt;&gt; PL Fuente EEFF sep 14'!B15+'&gt;&gt; PL Fuente EEFF sep 14'!B37</f>
        <v>3683290.92</v>
      </c>
      <c r="I84" s="3"/>
      <c r="J84" s="3">
        <f t="shared" ref="J84:N85" si="59">+J$13/360*J142</f>
        <v>3112180.5315407412</v>
      </c>
      <c r="K84" s="3">
        <f t="shared" si="59"/>
        <v>3414105.1139374073</v>
      </c>
      <c r="L84" s="3">
        <f t="shared" si="59"/>
        <v>3755601.3289674651</v>
      </c>
      <c r="M84" s="3">
        <f t="shared" si="59"/>
        <v>4143540.9996993309</v>
      </c>
      <c r="N84" s="3">
        <f t="shared" si="59"/>
        <v>4586193.7897611978</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row>
    <row r="85" spans="2:74" ht="12.75" outlineLevel="1" x14ac:dyDescent="0.2">
      <c r="B85" s="35" t="s">
        <v>25</v>
      </c>
      <c r="C85" s="4">
        <f>201820-29587</f>
        <v>172233</v>
      </c>
      <c r="D85" s="4">
        <f>259057+7000</f>
        <v>266057</v>
      </c>
      <c r="E85" s="4">
        <f>303755+12496-544</f>
        <v>315707</v>
      </c>
      <c r="F85" s="4">
        <f>329749+12496</f>
        <v>342245</v>
      </c>
      <c r="G85" s="18"/>
      <c r="H85" s="4">
        <f>+'&gt;&gt; PL Fuente EEFF sep 14'!B38+'&gt;&gt; PL Fuente EEFF sep 14'!B13</f>
        <v>861532.72</v>
      </c>
      <c r="I85" s="3"/>
      <c r="J85" s="315">
        <f t="shared" si="59"/>
        <v>311218.05315407412</v>
      </c>
      <c r="K85" s="315">
        <f t="shared" si="59"/>
        <v>341410.51139374071</v>
      </c>
      <c r="L85" s="315">
        <f t="shared" si="59"/>
        <v>375560.13289674651</v>
      </c>
      <c r="M85" s="315">
        <f t="shared" si="59"/>
        <v>414354.0999699331</v>
      </c>
      <c r="N85" s="315">
        <f t="shared" si="59"/>
        <v>458619.3789761198</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row>
    <row r="86" spans="2:74" ht="12.75" x14ac:dyDescent="0.2">
      <c r="B86" s="134" t="s">
        <v>26</v>
      </c>
      <c r="C86" s="132">
        <f t="shared" ref="C86:H86" si="60">+SUM(C79:C85)</f>
        <v>37805223</v>
      </c>
      <c r="D86" s="132">
        <f t="shared" si="60"/>
        <v>42834807</v>
      </c>
      <c r="E86" s="132">
        <f t="shared" si="60"/>
        <v>38595387</v>
      </c>
      <c r="F86" s="132">
        <f t="shared" si="60"/>
        <v>30299597</v>
      </c>
      <c r="G86" s="133">
        <f t="shared" si="60"/>
        <v>0</v>
      </c>
      <c r="H86" s="132">
        <f t="shared" si="60"/>
        <v>37059747.100000001</v>
      </c>
      <c r="I86" s="3"/>
      <c r="J86" s="132">
        <f>+SUM(J79:J85)</f>
        <v>32233903.346317079</v>
      </c>
      <c r="K86" s="132">
        <f>+SUM(K79:K85)</f>
        <v>35088001.024023257</v>
      </c>
      <c r="L86" s="132">
        <f>+SUM(L79:L85)</f>
        <v>38428354.062057234</v>
      </c>
      <c r="M86" s="132">
        <f>+SUM(M79:M85)</f>
        <v>42279178.333772339</v>
      </c>
      <c r="N86" s="132">
        <f>+SUM(N79:N85)</f>
        <v>46661430.995616525</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2:74" ht="3.75" customHeight="1" x14ac:dyDescent="0.2">
      <c r="B87" s="8"/>
      <c r="G87" s="16"/>
    </row>
    <row r="88" spans="2:74" ht="12.75" outlineLevel="1" x14ac:dyDescent="0.2">
      <c r="B88" s="35" t="s">
        <v>27</v>
      </c>
      <c r="C88" s="3">
        <v>959</v>
      </c>
      <c r="D88" s="3">
        <v>959</v>
      </c>
      <c r="E88" s="3">
        <v>959</v>
      </c>
      <c r="F88" s="3">
        <v>959</v>
      </c>
      <c r="G88" s="17"/>
      <c r="H88" s="3">
        <f>+'&gt;&gt; PL Fuente EEFF sep 14'!E20</f>
        <v>958.60999999986961</v>
      </c>
      <c r="I88" s="3"/>
      <c r="J88" s="3">
        <f>+Activos!J8</f>
        <v>0</v>
      </c>
      <c r="K88" s="3">
        <f>+Activos!K8</f>
        <v>0</v>
      </c>
      <c r="L88" s="3">
        <f>+Activos!L8</f>
        <v>0</v>
      </c>
      <c r="M88" s="3">
        <f>+Activos!M8</f>
        <v>0</v>
      </c>
      <c r="N88" s="3">
        <f>+Activos!N8</f>
        <v>0</v>
      </c>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row>
    <row r="89" spans="2:74" ht="12.75" outlineLevel="1" x14ac:dyDescent="0.2">
      <c r="B89" s="35" t="s">
        <v>28</v>
      </c>
      <c r="C89" s="3">
        <v>8133</v>
      </c>
      <c r="D89" s="3">
        <v>8133</v>
      </c>
      <c r="E89" s="3">
        <v>8133</v>
      </c>
      <c r="F89" s="3">
        <v>8133</v>
      </c>
      <c r="G89" s="17"/>
      <c r="H89" s="3">
        <f>+'&gt;&gt; PL Fuente EEFF sep 14'!E21</f>
        <v>8132.6999999992549</v>
      </c>
      <c r="I89" s="3"/>
      <c r="J89" s="3">
        <f>+Activos!J9</f>
        <v>0</v>
      </c>
      <c r="K89" s="3">
        <f>+Activos!K9</f>
        <v>0</v>
      </c>
      <c r="L89" s="3">
        <f>+Activos!L9</f>
        <v>0</v>
      </c>
      <c r="M89" s="3">
        <f>+Activos!M9</f>
        <v>0</v>
      </c>
      <c r="N89" s="3">
        <f>+Activos!N9</f>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row>
    <row r="90" spans="2:74" ht="12.75" outlineLevel="1" x14ac:dyDescent="0.2">
      <c r="B90" s="35" t="s">
        <v>30</v>
      </c>
      <c r="C90" s="3">
        <v>2744456</v>
      </c>
      <c r="D90" s="3">
        <v>2744456</v>
      </c>
      <c r="E90" s="3">
        <v>2814964</v>
      </c>
      <c r="F90" s="3">
        <v>2830692</v>
      </c>
      <c r="G90" s="17"/>
      <c r="H90" s="3">
        <f>+'&gt;&gt; PL Fuente EEFF sep 14'!E23</f>
        <v>2840492.05</v>
      </c>
      <c r="I90" s="3"/>
      <c r="J90" s="3">
        <f>+Activos!J10</f>
        <v>2982516.6524999999</v>
      </c>
      <c r="K90" s="3">
        <f>+Activos!K10</f>
        <v>3131642.4851249997</v>
      </c>
      <c r="L90" s="3">
        <f>+Activos!L10</f>
        <v>3288224.6093812496</v>
      </c>
      <c r="M90" s="3">
        <f>+Activos!M10</f>
        <v>3452635.8398503121</v>
      </c>
      <c r="N90" s="3">
        <f>+Activos!N10</f>
        <v>3625267.6318428279</v>
      </c>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row>
    <row r="91" spans="2:74" ht="12.75" outlineLevel="1" x14ac:dyDescent="0.2">
      <c r="B91" s="35" t="s">
        <v>31</v>
      </c>
      <c r="C91" s="3">
        <v>1079621</v>
      </c>
      <c r="D91" s="3">
        <v>1079621</v>
      </c>
      <c r="E91" s="3">
        <v>1122018</v>
      </c>
      <c r="F91" s="3">
        <v>1122018</v>
      </c>
      <c r="G91" s="17"/>
      <c r="H91" s="3">
        <f>+'&gt;&gt; PL Fuente EEFF sep 14'!E25</f>
        <v>1122018.23</v>
      </c>
      <c r="I91" s="3"/>
      <c r="J91" s="3">
        <f>+Activos!J11</f>
        <v>1178119.1414999999</v>
      </c>
      <c r="K91" s="3">
        <f>+Activos!K11</f>
        <v>1178119.1414999999</v>
      </c>
      <c r="L91" s="3">
        <f>+Activos!L11</f>
        <v>1237025.098575</v>
      </c>
      <c r="M91" s="3">
        <f>+Activos!M11</f>
        <v>1237025.098575</v>
      </c>
      <c r="N91" s="3">
        <f>+Activos!N11</f>
        <v>1298876.3535037499</v>
      </c>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row>
    <row r="92" spans="2:74" ht="12.75" outlineLevel="1" x14ac:dyDescent="0.2">
      <c r="B92" s="35" t="s">
        <v>29</v>
      </c>
      <c r="C92" s="3">
        <v>4610578</v>
      </c>
      <c r="D92" s="3">
        <v>4610578</v>
      </c>
      <c r="E92" s="3">
        <v>4851890</v>
      </c>
      <c r="F92" s="3">
        <v>4851890</v>
      </c>
      <c r="G92" s="17"/>
      <c r="H92" s="3">
        <f>+'&gt;&gt; PL Fuente EEFF sep 14'!E27</f>
        <v>4851890.43</v>
      </c>
      <c r="I92" s="3"/>
      <c r="J92" s="3">
        <f>+Activos!J12</f>
        <v>4851890.43</v>
      </c>
      <c r="K92" s="3">
        <f>+Activos!K12</f>
        <v>5337079.4729999993</v>
      </c>
      <c r="L92" s="3">
        <f>+Activos!L12</f>
        <v>5337079.4729999993</v>
      </c>
      <c r="M92" s="3">
        <f>+Activos!M12</f>
        <v>5870787.4202999994</v>
      </c>
      <c r="N92" s="3">
        <f>+Activos!N12</f>
        <v>5870787.4202999994</v>
      </c>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2:74" ht="12.75" outlineLevel="1" x14ac:dyDescent="0.2">
      <c r="B93" s="35" t="s">
        <v>32</v>
      </c>
      <c r="C93" s="3">
        <v>-6352761</v>
      </c>
      <c r="D93" s="3">
        <v>-6352761</v>
      </c>
      <c r="E93" s="3">
        <v>-7184491</v>
      </c>
      <c r="F93" s="3">
        <v>-7868708</v>
      </c>
      <c r="G93" s="17"/>
      <c r="H93" s="3">
        <f>+'&gt;&gt; PL Fuente EEFF sep 14'!E30</f>
        <v>-8114424.0700000003</v>
      </c>
      <c r="I93" s="3"/>
      <c r="J93" s="3">
        <f>+Activos!J20</f>
        <v>-8236098.0124000004</v>
      </c>
      <c r="K93" s="3">
        <f>+Activos!K20</f>
        <v>-8474051.7913224995</v>
      </c>
      <c r="L93" s="3">
        <f>+Activos!L20</f>
        <v>-8685742.4514358751</v>
      </c>
      <c r="M93" s="3">
        <f>+Activos!M20</f>
        <v>-9008119.7436223198</v>
      </c>
      <c r="N93" s="3">
        <f>+Activos!N20</f>
        <v>-9288184.2544178702</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row>
    <row r="94" spans="2:74" ht="12.75" outlineLevel="1" x14ac:dyDescent="0.2">
      <c r="B94" s="35" t="s">
        <v>378</v>
      </c>
      <c r="C94" s="3">
        <v>23034793</v>
      </c>
      <c r="D94" s="3">
        <v>23034793</v>
      </c>
      <c r="E94" s="3">
        <v>23034793</v>
      </c>
      <c r="F94" s="3">
        <v>23034793</v>
      </c>
      <c r="G94" s="17"/>
      <c r="H94" s="3">
        <v>23034793</v>
      </c>
      <c r="I94" s="3"/>
      <c r="J94" s="3">
        <f>+H94</f>
        <v>23034793</v>
      </c>
      <c r="K94" s="3">
        <f>+J94</f>
        <v>23034793</v>
      </c>
      <c r="L94" s="3">
        <f t="shared" ref="L94:N94" si="61">+K94</f>
        <v>23034793</v>
      </c>
      <c r="M94" s="3">
        <f t="shared" si="61"/>
        <v>23034793</v>
      </c>
      <c r="N94" s="3">
        <f t="shared" si="61"/>
        <v>23034793</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row>
    <row r="95" spans="2:74" ht="12.75" outlineLevel="1" x14ac:dyDescent="0.2">
      <c r="B95" s="35" t="s">
        <v>380</v>
      </c>
      <c r="C95" s="3">
        <f>-19739260+430500</f>
        <v>-19308760</v>
      </c>
      <c r="D95" s="3">
        <v>-19739260</v>
      </c>
      <c r="E95" s="3">
        <v>-19739260</v>
      </c>
      <c r="F95" s="3">
        <f>-19739260+1</f>
        <v>-19739259</v>
      </c>
      <c r="G95" s="17"/>
      <c r="H95" s="3">
        <v>-19739259</v>
      </c>
      <c r="I95" s="3"/>
      <c r="J95" s="3">
        <f>+H95</f>
        <v>-19739259</v>
      </c>
      <c r="K95" s="3">
        <f>+J95</f>
        <v>-19739259</v>
      </c>
      <c r="L95" s="3">
        <f t="shared" ref="L95:N95" si="62">+K95</f>
        <v>-19739259</v>
      </c>
      <c r="M95" s="3">
        <f t="shared" si="62"/>
        <v>-19739259</v>
      </c>
      <c r="N95" s="3">
        <f t="shared" si="62"/>
        <v>-19739259</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row>
    <row r="96" spans="2:74" ht="12.75" x14ac:dyDescent="0.2">
      <c r="B96" s="134" t="s">
        <v>33</v>
      </c>
      <c r="C96" s="132">
        <f t="shared" ref="C96:H96" si="63">+SUM(C88:C95)</f>
        <v>5817019</v>
      </c>
      <c r="D96" s="132">
        <f t="shared" si="63"/>
        <v>5386519</v>
      </c>
      <c r="E96" s="132">
        <f t="shared" si="63"/>
        <v>4909006</v>
      </c>
      <c r="F96" s="132">
        <f t="shared" si="63"/>
        <v>4240518</v>
      </c>
      <c r="G96" s="133">
        <f t="shared" si="63"/>
        <v>0</v>
      </c>
      <c r="H96" s="132">
        <f t="shared" si="63"/>
        <v>4004601.9499999993</v>
      </c>
      <c r="I96" s="3"/>
      <c r="J96" s="132">
        <f>+SUM(J88:J95)</f>
        <v>4071962.2115999982</v>
      </c>
      <c r="K96" s="132">
        <f>+SUM(K88:K95)</f>
        <v>4468323.3083024994</v>
      </c>
      <c r="L96" s="132">
        <f>+SUM(L88:L95)</f>
        <v>4472120.729520373</v>
      </c>
      <c r="M96" s="132">
        <f>+SUM(M88:M95)</f>
        <v>4847862.6151029915</v>
      </c>
      <c r="N96" s="132">
        <f>+SUM(N88:N95)</f>
        <v>4802281.1512287073</v>
      </c>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row>
    <row r="97" spans="2:74" ht="3.75" customHeight="1" x14ac:dyDescent="0.2">
      <c r="B97" s="8"/>
      <c r="G97" s="16"/>
    </row>
    <row r="98" spans="2:74" ht="12.75" outlineLevel="1" x14ac:dyDescent="0.2">
      <c r="B98" s="34" t="s">
        <v>318</v>
      </c>
      <c r="C98" s="3">
        <v>195269</v>
      </c>
      <c r="D98" s="3">
        <v>195269</v>
      </c>
      <c r="E98" s="3">
        <v>195269</v>
      </c>
      <c r="F98" s="3">
        <v>261074</v>
      </c>
      <c r="G98" s="17"/>
      <c r="H98" s="3">
        <f>+'&gt;&gt; PL Fuente EEFF sep 14'!E33</f>
        <v>261073.11000000034</v>
      </c>
      <c r="I98" s="3"/>
      <c r="J98" s="3">
        <f>+H98</f>
        <v>261073.11000000034</v>
      </c>
      <c r="K98" s="3">
        <f>+J98</f>
        <v>261073.11000000034</v>
      </c>
      <c r="L98" s="3">
        <f t="shared" ref="L98:N98" si="64">+K98</f>
        <v>261073.11000000034</v>
      </c>
      <c r="M98" s="3">
        <f t="shared" si="64"/>
        <v>261073.11000000034</v>
      </c>
      <c r="N98" s="3">
        <f t="shared" si="64"/>
        <v>261073.11000000034</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row>
    <row r="99" spans="2:74" ht="12.75" outlineLevel="1" x14ac:dyDescent="0.2">
      <c r="B99" s="34" t="s">
        <v>391</v>
      </c>
      <c r="C99" s="3">
        <f>+D99+8405</f>
        <v>-33777</v>
      </c>
      <c r="D99" s="3">
        <f>-115307-D103</f>
        <v>-42182</v>
      </c>
      <c r="E99" s="3">
        <f>-131212-E103</f>
        <v>-50587</v>
      </c>
      <c r="F99" s="3">
        <f>-147665-F103</f>
        <v>-59540</v>
      </c>
      <c r="G99" s="17"/>
      <c r="H99" s="3">
        <f>+'&gt;&gt; PL Fuente EEFF sep 14'!E34</f>
        <v>-66435.38</v>
      </c>
      <c r="I99" s="3"/>
      <c r="J99" s="3">
        <f>+H99-9000</f>
        <v>-75435.38</v>
      </c>
      <c r="K99" s="3">
        <f>+J99-9000</f>
        <v>-84435.38</v>
      </c>
      <c r="L99" s="3">
        <f>+K99-9000</f>
        <v>-93435.38</v>
      </c>
      <c r="M99" s="3">
        <f>+L99-9000</f>
        <v>-102435.38</v>
      </c>
      <c r="N99" s="3">
        <f>+M99-9000</f>
        <v>-111435.38</v>
      </c>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row>
    <row r="100" spans="2:74" ht="12.75" outlineLevel="1" x14ac:dyDescent="0.2">
      <c r="B100" s="34" t="s">
        <v>379</v>
      </c>
      <c r="C100" s="3">
        <f>5738416</f>
        <v>5738416</v>
      </c>
      <c r="D100" s="3">
        <f>5738416</f>
        <v>5738416</v>
      </c>
      <c r="E100" s="3">
        <f>5738416</f>
        <v>5738416</v>
      </c>
      <c r="F100" s="3">
        <v>5738416</v>
      </c>
      <c r="G100" s="17"/>
      <c r="H100" s="3">
        <f>+'&gt;&gt; PL Fuente EEFF sep 14'!D33</f>
        <v>5738416.5199999996</v>
      </c>
      <c r="I100" s="3"/>
      <c r="J100" s="3">
        <f>+H100</f>
        <v>5738416.5199999996</v>
      </c>
      <c r="K100" s="3">
        <f>+J100</f>
        <v>5738416.5199999996</v>
      </c>
      <c r="L100" s="3">
        <f t="shared" ref="L100:N100" si="65">+K100</f>
        <v>5738416.5199999996</v>
      </c>
      <c r="M100" s="3">
        <f t="shared" si="65"/>
        <v>5738416.5199999996</v>
      </c>
      <c r="N100" s="3">
        <f t="shared" si="65"/>
        <v>5738416.5199999996</v>
      </c>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row>
    <row r="101" spans="2:74" ht="12.75" outlineLevel="1" x14ac:dyDescent="0.2">
      <c r="B101" s="34" t="s">
        <v>381</v>
      </c>
      <c r="C101" s="3">
        <v>-5688659</v>
      </c>
      <c r="D101" s="3">
        <v>-5688659</v>
      </c>
      <c r="E101" s="3">
        <v>-5688659</v>
      </c>
      <c r="F101" s="3">
        <v>-5688659</v>
      </c>
      <c r="G101" s="17"/>
      <c r="H101" s="3">
        <f>+'&gt;&gt; PL Fuente EEFF sep 14'!D34</f>
        <v>-5688659.2800000003</v>
      </c>
      <c r="I101" s="3"/>
      <c r="J101" s="3">
        <f>+H101</f>
        <v>-5688659.2800000003</v>
      </c>
      <c r="K101" s="3">
        <f>+J101</f>
        <v>-5688659.2800000003</v>
      </c>
      <c r="L101" s="3">
        <f t="shared" ref="L101:N101" si="66">+K101</f>
        <v>-5688659.2800000003</v>
      </c>
      <c r="M101" s="3">
        <f t="shared" si="66"/>
        <v>-5688659.2800000003</v>
      </c>
      <c r="N101" s="3">
        <f t="shared" si="66"/>
        <v>-5688659.2800000003</v>
      </c>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row>
    <row r="102" spans="2:74" ht="12.75" outlineLevel="1" x14ac:dyDescent="0.2">
      <c r="B102" s="34" t="s">
        <v>319</v>
      </c>
      <c r="C102" s="3">
        <v>150000</v>
      </c>
      <c r="D102" s="3">
        <v>150000</v>
      </c>
      <c r="E102" s="3">
        <v>150000</v>
      </c>
      <c r="F102" s="3">
        <v>150000</v>
      </c>
      <c r="G102" s="17"/>
      <c r="H102" s="3">
        <v>150000</v>
      </c>
      <c r="I102" s="3"/>
      <c r="J102" s="3">
        <f>+H102</f>
        <v>150000</v>
      </c>
      <c r="K102" s="3">
        <f>+J102</f>
        <v>150000</v>
      </c>
      <c r="L102" s="3">
        <f t="shared" ref="L102:N102" si="67">+K102</f>
        <v>150000</v>
      </c>
      <c r="M102" s="3">
        <f t="shared" si="67"/>
        <v>150000</v>
      </c>
      <c r="N102" s="3">
        <f t="shared" si="67"/>
        <v>150000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row>
    <row r="103" spans="2:74" ht="12.75" outlineLevel="1" x14ac:dyDescent="0.2">
      <c r="B103" s="34" t="s">
        <v>390</v>
      </c>
      <c r="C103" s="3">
        <f t="shared" ref="C103:D103" si="68">+D103+7500</f>
        <v>-65625</v>
      </c>
      <c r="D103" s="3">
        <f t="shared" si="68"/>
        <v>-73125</v>
      </c>
      <c r="E103" s="3">
        <f>+F103+7500</f>
        <v>-80625</v>
      </c>
      <c r="F103" s="3">
        <f>+H103+7500</f>
        <v>-88125</v>
      </c>
      <c r="G103" s="17"/>
      <c r="H103" s="3">
        <v>-95625</v>
      </c>
      <c r="I103" s="3"/>
      <c r="J103" s="3">
        <f>+H103-7500</f>
        <v>-103125</v>
      </c>
      <c r="K103" s="3">
        <f>+J103-7500</f>
        <v>-110625</v>
      </c>
      <c r="L103" s="3">
        <f t="shared" ref="L103:N103" si="69">+K103-7500</f>
        <v>-118125</v>
      </c>
      <c r="M103" s="3">
        <f t="shared" si="69"/>
        <v>-125625</v>
      </c>
      <c r="N103" s="3">
        <f t="shared" si="69"/>
        <v>-133125</v>
      </c>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row>
    <row r="104" spans="2:74" ht="12.75" outlineLevel="1" x14ac:dyDescent="0.2">
      <c r="B104" s="34" t="s">
        <v>59</v>
      </c>
      <c r="C104" s="3">
        <v>7075</v>
      </c>
      <c r="D104" s="3">
        <v>6815</v>
      </c>
      <c r="E104" s="3">
        <v>6815</v>
      </c>
      <c r="F104" s="3">
        <v>8815</v>
      </c>
      <c r="G104" s="17"/>
      <c r="H104" s="3">
        <f>+'&gt;&gt; PL Fuente EEFF sep 14'!B32</f>
        <v>8815</v>
      </c>
      <c r="I104" s="3"/>
      <c r="J104" s="3">
        <f>+H104</f>
        <v>8815</v>
      </c>
      <c r="K104" s="3">
        <f>+J104</f>
        <v>8815</v>
      </c>
      <c r="L104" s="3">
        <f t="shared" ref="L104:N104" si="70">+K104</f>
        <v>8815</v>
      </c>
      <c r="M104" s="3">
        <f t="shared" si="70"/>
        <v>8815</v>
      </c>
      <c r="N104" s="3">
        <f t="shared" si="70"/>
        <v>8815</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row>
    <row r="105" spans="2:74" ht="12.75" x14ac:dyDescent="0.2">
      <c r="B105" s="134" t="s">
        <v>34</v>
      </c>
      <c r="C105" s="132">
        <f t="shared" ref="C105:H105" si="71">+SUM(C98:C104)</f>
        <v>302699</v>
      </c>
      <c r="D105" s="132">
        <f t="shared" si="71"/>
        <v>286534</v>
      </c>
      <c r="E105" s="132">
        <f t="shared" si="71"/>
        <v>270629</v>
      </c>
      <c r="F105" s="132">
        <f t="shared" si="71"/>
        <v>321981</v>
      </c>
      <c r="G105" s="133">
        <f t="shared" si="71"/>
        <v>0</v>
      </c>
      <c r="H105" s="132">
        <f t="shared" si="71"/>
        <v>307584.96999999974</v>
      </c>
      <c r="I105" s="3"/>
      <c r="J105" s="132">
        <f>+SUM(J98:J104)</f>
        <v>291084.96999999974</v>
      </c>
      <c r="K105" s="132">
        <f>+SUM(K98:K104)</f>
        <v>274584.96999999974</v>
      </c>
      <c r="L105" s="132">
        <f>+SUM(L98:L104)</f>
        <v>258084.96999999974</v>
      </c>
      <c r="M105" s="132">
        <f>+SUM(M98:M104)</f>
        <v>241584.96999999974</v>
      </c>
      <c r="N105" s="132">
        <f>+SUM(N98:N104)</f>
        <v>225084.96999999974</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row>
    <row r="106" spans="2:74" ht="3.75" customHeight="1" x14ac:dyDescent="0.2">
      <c r="B106" s="8"/>
      <c r="G106" s="16"/>
    </row>
    <row r="107" spans="2:74" ht="12.75" x14ac:dyDescent="0.2">
      <c r="B107" s="134" t="s">
        <v>35</v>
      </c>
      <c r="C107" s="132">
        <v>0</v>
      </c>
      <c r="D107" s="132">
        <v>0</v>
      </c>
      <c r="E107" s="132">
        <v>0</v>
      </c>
      <c r="F107" s="132">
        <v>0</v>
      </c>
      <c r="G107" s="133">
        <f>+G130-G86-G96-G105</f>
        <v>-1261693.390708135</v>
      </c>
      <c r="H107" s="132">
        <v>0</v>
      </c>
      <c r="I107" s="3"/>
      <c r="J107" s="132">
        <f>+J130-J86-J96-J105</f>
        <v>680428.11446499359</v>
      </c>
      <c r="K107" s="132">
        <f>+K130-K86-K96-K105</f>
        <v>186398.88227078971</v>
      </c>
      <c r="L107" s="132">
        <f>+L130-L86-L96-L105</f>
        <v>1149020.7257865807</v>
      </c>
      <c r="M107" s="132">
        <f>+M130-M86-M96-M105</f>
        <v>2606771.1185281044</v>
      </c>
      <c r="N107" s="132">
        <f>+N130-N86-N96-N105</f>
        <v>5527832.6541226236</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row>
    <row r="108" spans="2:74" ht="3.75" customHeight="1" x14ac:dyDescent="0.2">
      <c r="B108" s="8"/>
      <c r="G108" s="16"/>
    </row>
    <row r="109" spans="2:74" ht="12.75" x14ac:dyDescent="0.2">
      <c r="B109" s="134" t="s">
        <v>36</v>
      </c>
      <c r="C109" s="132">
        <f t="shared" ref="C109:H109" si="72">+C86+C96+C105+C107</f>
        <v>43924941</v>
      </c>
      <c r="D109" s="132">
        <f t="shared" si="72"/>
        <v>48507860</v>
      </c>
      <c r="E109" s="132">
        <f t="shared" si="72"/>
        <v>43775022</v>
      </c>
      <c r="F109" s="132">
        <f t="shared" si="72"/>
        <v>34862096</v>
      </c>
      <c r="G109" s="133">
        <f t="shared" si="72"/>
        <v>-1261693.390708135</v>
      </c>
      <c r="H109" s="132">
        <f t="shared" si="72"/>
        <v>41371934.019999996</v>
      </c>
      <c r="I109" s="3"/>
      <c r="J109" s="132">
        <f>+J86+J96+J105+J107</f>
        <v>37277378.642382063</v>
      </c>
      <c r="K109" s="132">
        <f>+K86+K96+K105+K107</f>
        <v>40017308.184596546</v>
      </c>
      <c r="L109" s="132">
        <f>+L86+L96+L105+L107</f>
        <v>44307580.487364188</v>
      </c>
      <c r="M109" s="132">
        <f>+M86+M96+M105+M107</f>
        <v>49975397.037403435</v>
      </c>
      <c r="N109" s="132">
        <f>+N86+N96+N105+N107</f>
        <v>57216629.770967856</v>
      </c>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row>
    <row r="110" spans="2:74" ht="3.75" customHeight="1" x14ac:dyDescent="0.2">
      <c r="B110" s="8"/>
      <c r="G110" s="16"/>
    </row>
    <row r="111" spans="2:74" ht="12.75" outlineLevel="1" x14ac:dyDescent="0.2">
      <c r="B111" s="25" t="s">
        <v>320</v>
      </c>
      <c r="C111" s="3">
        <f>9156403+3857961</f>
        <v>13014364</v>
      </c>
      <c r="D111" s="3">
        <f>12461621+2210200</f>
        <v>14671821</v>
      </c>
      <c r="E111" s="3">
        <f>10891440+435423</f>
        <v>11326863</v>
      </c>
      <c r="F111" s="3">
        <f>3771806+3784080</f>
        <v>7555886</v>
      </c>
      <c r="G111" s="17"/>
      <c r="H111" s="3">
        <f>+'&gt;&gt; PL Fuente EEFF sep 14'!B46</f>
        <v>14479966.91</v>
      </c>
      <c r="I111" s="3"/>
      <c r="J111" s="3">
        <f>+J$20/360*J145</f>
        <v>12454960.198320048</v>
      </c>
      <c r="K111" s="3">
        <f>+K$20/360*K145</f>
        <v>13356097.030405002</v>
      </c>
      <c r="L111" s="3">
        <f>+L$20/360*L145</f>
        <v>14501548.153213272</v>
      </c>
      <c r="M111" s="3">
        <f>+M$20/360*M145</f>
        <v>15865986.977793997</v>
      </c>
      <c r="N111" s="3">
        <f>+N$20/360*N145</f>
        <v>17409727.378395427</v>
      </c>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row>
    <row r="112" spans="2:74" ht="12.75" outlineLevel="1" x14ac:dyDescent="0.2">
      <c r="B112" s="25" t="s">
        <v>137</v>
      </c>
      <c r="C112" s="3">
        <v>61464</v>
      </c>
      <c r="D112" s="3">
        <v>53445</v>
      </c>
      <c r="E112" s="3">
        <v>50776</v>
      </c>
      <c r="F112" s="3">
        <v>55376</v>
      </c>
      <c r="G112" s="17"/>
      <c r="H112" s="3">
        <f>+'&gt;&gt; PL Fuente EEFF sep 14'!B47</f>
        <v>260023.17</v>
      </c>
      <c r="I112" s="3"/>
      <c r="J112" s="84">
        <f>+J$13/360*J146</f>
        <v>311218.05315407412</v>
      </c>
      <c r="K112" s="84">
        <f>+K$13/360*K146</f>
        <v>341410.51139374071</v>
      </c>
      <c r="L112" s="84">
        <f t="shared" ref="L112:N112" si="73">+L$13/360*L146</f>
        <v>375560.13289674651</v>
      </c>
      <c r="M112" s="84">
        <f t="shared" si="73"/>
        <v>414354.0999699331</v>
      </c>
      <c r="N112" s="84">
        <f t="shared" si="73"/>
        <v>458619.3789761198</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row>
    <row r="113" spans="2:74" ht="12.75" outlineLevel="1" x14ac:dyDescent="0.2">
      <c r="B113" s="25" t="s">
        <v>37</v>
      </c>
      <c r="C113" s="3">
        <f>39191+168470+193161</f>
        <v>400822</v>
      </c>
      <c r="D113" s="3">
        <f>188931+25569+840049</f>
        <v>1054549</v>
      </c>
      <c r="E113" s="3">
        <f>183604+164064+169004+335143</f>
        <v>851815</v>
      </c>
      <c r="F113" s="3">
        <f>186636+25414+167221+245729</f>
        <v>625000</v>
      </c>
      <c r="G113" s="17"/>
      <c r="H113" s="3">
        <f>+'&gt;&gt; PL Fuente EEFF sep 14'!B45+'&gt;&gt; PL Fuente EEFF sep 14'!B48</f>
        <v>3521294.08</v>
      </c>
      <c r="I113" s="3"/>
      <c r="J113" s="84">
        <f>+J$13/360*J147</f>
        <v>1556090.2657703706</v>
      </c>
      <c r="K113" s="84">
        <f t="shared" ref="K113:N113" si="74">+K$13/360*K147</f>
        <v>1707052.5569687036</v>
      </c>
      <c r="L113" s="84">
        <f t="shared" si="74"/>
        <v>1877800.6644837325</v>
      </c>
      <c r="M113" s="84">
        <f t="shared" si="74"/>
        <v>2071770.4998496654</v>
      </c>
      <c r="N113" s="84">
        <f t="shared" si="74"/>
        <v>2293096.8948805989</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row>
    <row r="114" spans="2:74" ht="12.75" outlineLevel="1" x14ac:dyDescent="0.2">
      <c r="B114" s="25" t="s">
        <v>38</v>
      </c>
      <c r="C114" s="3">
        <v>253358</v>
      </c>
      <c r="D114" s="3">
        <v>501582</v>
      </c>
      <c r="E114" s="3">
        <v>227841</v>
      </c>
      <c r="F114" s="3">
        <v>3585</v>
      </c>
      <c r="G114" s="17"/>
      <c r="H114" s="3">
        <f>+'&gt;&gt; PL Fuente EEFF sep 14'!B50</f>
        <v>3585.29</v>
      </c>
      <c r="I114" s="3"/>
      <c r="J114" s="39"/>
      <c r="K114" s="39"/>
      <c r="L114" s="39"/>
      <c r="M114" s="39"/>
      <c r="N114" s="39"/>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row>
    <row r="115" spans="2:74" ht="12.75" outlineLevel="1" x14ac:dyDescent="0.2">
      <c r="B115" s="25" t="s">
        <v>138</v>
      </c>
      <c r="C115" s="4">
        <f>2169874+118833</f>
        <v>2288707</v>
      </c>
      <c r="D115" s="4">
        <f>2407920+103650</f>
        <v>2511570</v>
      </c>
      <c r="E115" s="4">
        <f>998590+127795+124964</f>
        <v>1251349</v>
      </c>
      <c r="F115" s="4">
        <f>1603587+92453+9410</f>
        <v>1705450</v>
      </c>
      <c r="G115" s="18"/>
      <c r="H115" s="3">
        <f>+'&gt;&gt; PL Fuente EEFF sep 14'!B49+'&gt;&gt; PL Fuente EEFF sep 14'!B51</f>
        <v>68810.37</v>
      </c>
      <c r="I115" s="3"/>
      <c r="J115" s="40"/>
      <c r="K115" s="40"/>
      <c r="L115" s="40"/>
      <c r="M115" s="40"/>
      <c r="N115" s="40"/>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row>
    <row r="116" spans="2:74" ht="12.75" x14ac:dyDescent="0.2">
      <c r="B116" s="134" t="s">
        <v>39</v>
      </c>
      <c r="C116" s="132">
        <f t="shared" ref="C116:H116" si="75">+SUM(C111:C115)</f>
        <v>16018715</v>
      </c>
      <c r="D116" s="132">
        <f t="shared" si="75"/>
        <v>18792967</v>
      </c>
      <c r="E116" s="132">
        <f t="shared" si="75"/>
        <v>13708644</v>
      </c>
      <c r="F116" s="132">
        <f t="shared" si="75"/>
        <v>9945297</v>
      </c>
      <c r="G116" s="133">
        <f t="shared" si="75"/>
        <v>0</v>
      </c>
      <c r="H116" s="132">
        <f t="shared" si="75"/>
        <v>18333679.82</v>
      </c>
      <c r="I116" s="3"/>
      <c r="J116" s="132">
        <f>+SUM(J111:J115)</f>
        <v>14322268.517244492</v>
      </c>
      <c r="K116" s="132">
        <f>+SUM(K111:K115)</f>
        <v>15404560.098767446</v>
      </c>
      <c r="L116" s="132">
        <f>+SUM(L111:L115)</f>
        <v>16754908.950593751</v>
      </c>
      <c r="M116" s="132">
        <f>+SUM(M111:M115)</f>
        <v>18352111.577613596</v>
      </c>
      <c r="N116" s="132">
        <f>+SUM(N111:N115)</f>
        <v>20161443.652252149</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row>
    <row r="117" spans="2:74" ht="3.75" customHeight="1" x14ac:dyDescent="0.2">
      <c r="B117" s="8"/>
      <c r="G117" s="16"/>
    </row>
    <row r="118" spans="2:74" ht="12.75" outlineLevel="1" x14ac:dyDescent="0.2">
      <c r="B118" s="25" t="s">
        <v>186</v>
      </c>
      <c r="C118" s="3"/>
      <c r="D118" s="3"/>
      <c r="E118" s="3"/>
      <c r="F118" s="3"/>
      <c r="G118" s="17"/>
      <c r="H118" s="3"/>
      <c r="I118" s="3"/>
      <c r="J118" s="55">
        <f>+Pasivos!D7</f>
        <v>0</v>
      </c>
      <c r="K118" s="55">
        <f>+Pasivos!E7</f>
        <v>0</v>
      </c>
      <c r="L118" s="55">
        <f>+Pasivos!F7</f>
        <v>0</v>
      </c>
      <c r="M118" s="55">
        <f>+Pasivos!G7</f>
        <v>0</v>
      </c>
      <c r="N118" s="55">
        <f>+Pasivos!H7</f>
        <v>0</v>
      </c>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row>
    <row r="119" spans="2:74" ht="12.75" x14ac:dyDescent="0.2">
      <c r="B119" s="134" t="s">
        <v>40</v>
      </c>
      <c r="C119" s="137">
        <f t="shared" ref="C119:H119" si="76">+SUM(C118:C118)</f>
        <v>0</v>
      </c>
      <c r="D119" s="137">
        <f t="shared" si="76"/>
        <v>0</v>
      </c>
      <c r="E119" s="137">
        <f t="shared" si="76"/>
        <v>0</v>
      </c>
      <c r="F119" s="137">
        <f t="shared" si="76"/>
        <v>0</v>
      </c>
      <c r="G119" s="138">
        <f t="shared" si="76"/>
        <v>0</v>
      </c>
      <c r="H119" s="137">
        <f t="shared" si="76"/>
        <v>0</v>
      </c>
      <c r="I119" s="3"/>
      <c r="J119" s="137">
        <f>+SUM(J118:J118)</f>
        <v>0</v>
      </c>
      <c r="K119" s="137">
        <f>+SUM(K118:K118)</f>
        <v>0</v>
      </c>
      <c r="L119" s="137">
        <f>+SUM(L118:L118)</f>
        <v>0</v>
      </c>
      <c r="M119" s="137">
        <f>+SUM(M118:M118)</f>
        <v>0</v>
      </c>
      <c r="N119" s="137">
        <f>+SUM(N118:N118)</f>
        <v>0</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row>
    <row r="120" spans="2:74" ht="3.75" customHeight="1" x14ac:dyDescent="0.2">
      <c r="B120" s="8"/>
      <c r="G120" s="16"/>
    </row>
    <row r="121" spans="2:74" ht="12.75" x14ac:dyDescent="0.2">
      <c r="B121" s="134" t="s">
        <v>41</v>
      </c>
      <c r="C121" s="132">
        <f t="shared" ref="C121:H121" si="77">+C116+C119</f>
        <v>16018715</v>
      </c>
      <c r="D121" s="132">
        <f t="shared" si="77"/>
        <v>18792967</v>
      </c>
      <c r="E121" s="132">
        <f t="shared" si="77"/>
        <v>13708644</v>
      </c>
      <c r="F121" s="132">
        <f t="shared" si="77"/>
        <v>9945297</v>
      </c>
      <c r="G121" s="133">
        <f t="shared" si="77"/>
        <v>0</v>
      </c>
      <c r="H121" s="132">
        <f t="shared" si="77"/>
        <v>18333679.82</v>
      </c>
      <c r="I121" s="3"/>
      <c r="J121" s="132">
        <f>+J116+J119</f>
        <v>14322268.517244492</v>
      </c>
      <c r="K121" s="132">
        <f>+K116+K119</f>
        <v>15404560.098767446</v>
      </c>
      <c r="L121" s="132">
        <f>+L116+L119</f>
        <v>16754908.950593751</v>
      </c>
      <c r="M121" s="132">
        <f>+M116+M119</f>
        <v>18352111.577613596</v>
      </c>
      <c r="N121" s="132">
        <f>+N116+N119</f>
        <v>20161443.652252149</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row>
    <row r="122" spans="2:74" ht="3.75" customHeight="1" x14ac:dyDescent="0.2">
      <c r="B122" s="8"/>
      <c r="G122" s="16"/>
    </row>
    <row r="123" spans="2:74" ht="12.75" outlineLevel="1" x14ac:dyDescent="0.2">
      <c r="B123" s="32" t="s">
        <v>42</v>
      </c>
      <c r="C123" s="3">
        <v>1260000</v>
      </c>
      <c r="D123" s="3">
        <v>1260000</v>
      </c>
      <c r="E123" s="3">
        <v>1260000</v>
      </c>
      <c r="F123" s="3">
        <v>1260000</v>
      </c>
      <c r="G123" s="17"/>
      <c r="H123" s="3">
        <f>+'&gt;&gt; PL Fuente EEFF sep 14'!B58</f>
        <v>1260000</v>
      </c>
      <c r="I123" s="3"/>
      <c r="J123" s="3">
        <f>+H123</f>
        <v>1260000</v>
      </c>
      <c r="K123" s="3">
        <f>+J123</f>
        <v>1260000</v>
      </c>
      <c r="L123" s="3">
        <f t="shared" ref="L123:N124" si="78">+K123</f>
        <v>1260000</v>
      </c>
      <c r="M123" s="3">
        <f t="shared" si="78"/>
        <v>1260000</v>
      </c>
      <c r="N123" s="3">
        <f t="shared" si="78"/>
        <v>1260000</v>
      </c>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2:74" ht="12.75" outlineLevel="1" x14ac:dyDescent="0.2">
      <c r="B124" s="32" t="s">
        <v>43</v>
      </c>
      <c r="C124" s="3">
        <v>252000</v>
      </c>
      <c r="D124" s="3">
        <v>252000</v>
      </c>
      <c r="E124" s="3">
        <v>252000</v>
      </c>
      <c r="F124" s="3">
        <v>252000</v>
      </c>
      <c r="G124" s="17"/>
      <c r="H124" s="3">
        <f>+'&gt;&gt; PL Fuente EEFF sep 14'!B59</f>
        <v>252000</v>
      </c>
      <c r="I124" s="3"/>
      <c r="J124" s="3">
        <f>+H124</f>
        <v>252000</v>
      </c>
      <c r="K124" s="3">
        <f>+J124</f>
        <v>252000</v>
      </c>
      <c r="L124" s="3">
        <f t="shared" si="78"/>
        <v>252000</v>
      </c>
      <c r="M124" s="3">
        <f t="shared" si="78"/>
        <v>252000</v>
      </c>
      <c r="N124" s="3">
        <f t="shared" si="78"/>
        <v>252000</v>
      </c>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2:74" ht="12.75" outlineLevel="1" x14ac:dyDescent="0.2">
      <c r="B125" s="32" t="s">
        <v>321</v>
      </c>
      <c r="C125" s="3">
        <f>-83247034+71727802-C123+983878-C124</f>
        <v>-12047354</v>
      </c>
      <c r="D125" s="3">
        <f>-83247034-458570-85854+71727802-D123+983878-D124</f>
        <v>-12591778</v>
      </c>
      <c r="E125" s="3">
        <f>-83247034-458570+12496-109999+71727802-E123+1061121-E124</f>
        <v>-12526184</v>
      </c>
      <c r="F125" s="3">
        <f>-83247034-447142+12496-92453+71727802-F123+1061121-F124</f>
        <v>-12497210</v>
      </c>
      <c r="G125" s="17"/>
      <c r="H125" s="3">
        <f>+'&gt;&gt; PL Fuente EEFF sep 14'!B61+'&gt;&gt; PL Fuente EEFF sep 14'!B62</f>
        <v>3974998.11</v>
      </c>
      <c r="I125" s="3"/>
      <c r="J125" s="3">
        <f>+H125</f>
        <v>3974998.11</v>
      </c>
      <c r="K125" s="3">
        <f>+J125</f>
        <v>3974998.11</v>
      </c>
      <c r="L125" s="3">
        <f t="shared" ref="L125" si="79">+K125</f>
        <v>3974998.11</v>
      </c>
      <c r="M125" s="3">
        <f t="shared" ref="M125" si="80">+L125</f>
        <v>3974998.11</v>
      </c>
      <c r="N125" s="3">
        <f t="shared" ref="N125" si="81">+M125</f>
        <v>3974998.11</v>
      </c>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row>
    <row r="126" spans="2:74" ht="12.75" outlineLevel="1" x14ac:dyDescent="0.2">
      <c r="B126" s="32" t="s">
        <v>44</v>
      </c>
      <c r="C126" s="3">
        <f>38441580-C127</f>
        <v>38004847.999999993</v>
      </c>
      <c r="D126" s="3">
        <f>40794671-D127</f>
        <v>38141579.999999993</v>
      </c>
      <c r="E126" s="3">
        <f>41080562-E127</f>
        <v>40417427.999999993</v>
      </c>
      <c r="F126" s="3">
        <f>37886930</f>
        <v>37886930</v>
      </c>
      <c r="G126" s="17"/>
      <c r="H126" s="3">
        <f>+'&gt;&gt; PL Fuente EEFF sep 14'!B60</f>
        <v>19417307.859999999</v>
      </c>
      <c r="I126" s="3"/>
      <c r="J126" s="3">
        <f>+H126+H127</f>
        <v>17551256.049999986</v>
      </c>
      <c r="K126" s="3">
        <f>+J126+J127</f>
        <v>17468112.015137576</v>
      </c>
      <c r="L126" s="3">
        <f t="shared" ref="L126:N126" si="82">+K126+K127</f>
        <v>19125749.975829098</v>
      </c>
      <c r="M126" s="3">
        <f t="shared" si="82"/>
        <v>22065673.426770438</v>
      </c>
      <c r="N126" s="3">
        <f t="shared" si="82"/>
        <v>26136287.349789843</v>
      </c>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row>
    <row r="127" spans="2:74" ht="12.75" outlineLevel="1" x14ac:dyDescent="0.2">
      <c r="B127" s="32" t="s">
        <v>45</v>
      </c>
      <c r="C127" s="4">
        <f t="shared" ref="C127:H127" si="83">+C72</f>
        <v>436732.00000000745</v>
      </c>
      <c r="D127" s="4">
        <f t="shared" si="83"/>
        <v>2653091.0000000075</v>
      </c>
      <c r="E127" s="4">
        <f t="shared" si="83"/>
        <v>663134.00000000745</v>
      </c>
      <c r="F127" s="4">
        <f t="shared" si="83"/>
        <v>-1984920.9999999925</v>
      </c>
      <c r="G127" s="18">
        <f t="shared" si="83"/>
        <v>-1261693.390708135</v>
      </c>
      <c r="H127" s="4">
        <f t="shared" si="83"/>
        <v>-1866051.8100000124</v>
      </c>
      <c r="I127" s="3"/>
      <c r="J127" s="4">
        <f>+J72</f>
        <v>-83144.034862408414</v>
      </c>
      <c r="K127" s="4">
        <f>+K72</f>
        <v>1657637.9606915233</v>
      </c>
      <c r="L127" s="4">
        <f>+L72</f>
        <v>2939923.4509413382</v>
      </c>
      <c r="M127" s="4">
        <f>+M72</f>
        <v>4070613.923019405</v>
      </c>
      <c r="N127" s="4">
        <f>+N72</f>
        <v>5431900.6589258574</v>
      </c>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row>
    <row r="128" spans="2:74" ht="12.75" x14ac:dyDescent="0.2">
      <c r="B128" s="134" t="s">
        <v>46</v>
      </c>
      <c r="C128" s="132">
        <f t="shared" ref="C128:H128" si="84">+SUM(C123:C127)</f>
        <v>27906226</v>
      </c>
      <c r="D128" s="132">
        <f t="shared" si="84"/>
        <v>29714893</v>
      </c>
      <c r="E128" s="132">
        <f t="shared" si="84"/>
        <v>30066378</v>
      </c>
      <c r="F128" s="132">
        <f t="shared" si="84"/>
        <v>24916799.000000007</v>
      </c>
      <c r="G128" s="133">
        <f t="shared" si="84"/>
        <v>-1261693.390708135</v>
      </c>
      <c r="H128" s="132">
        <f t="shared" si="84"/>
        <v>23038254.159999985</v>
      </c>
      <c r="I128" s="3"/>
      <c r="J128" s="132">
        <f>+SUM(J123:J127)</f>
        <v>22955110.125137575</v>
      </c>
      <c r="K128" s="132">
        <f>+SUM(K123:K127)</f>
        <v>24612748.085829098</v>
      </c>
      <c r="L128" s="132">
        <f>+SUM(L123:L127)</f>
        <v>27552671.536770437</v>
      </c>
      <c r="M128" s="132">
        <f>+SUM(M123:M127)</f>
        <v>31623285.459789842</v>
      </c>
      <c r="N128" s="132">
        <f>+SUM(N123:N127)</f>
        <v>37055186.118715703</v>
      </c>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1:74" ht="3.75" customHeight="1" x14ac:dyDescent="0.2">
      <c r="B129" s="8"/>
      <c r="G129" s="16"/>
    </row>
    <row r="130" spans="1:74" ht="12.75" x14ac:dyDescent="0.2">
      <c r="B130" s="134" t="s">
        <v>47</v>
      </c>
      <c r="C130" s="132">
        <f t="shared" ref="C130:H130" si="85">+C121+C128</f>
        <v>43924941</v>
      </c>
      <c r="D130" s="132">
        <f t="shared" si="85"/>
        <v>48507860</v>
      </c>
      <c r="E130" s="132">
        <f t="shared" si="85"/>
        <v>43775022</v>
      </c>
      <c r="F130" s="132">
        <f t="shared" si="85"/>
        <v>34862096.000000007</v>
      </c>
      <c r="G130" s="133">
        <f t="shared" si="85"/>
        <v>-1261693.390708135</v>
      </c>
      <c r="H130" s="132">
        <f t="shared" si="85"/>
        <v>41371933.979999989</v>
      </c>
      <c r="I130" s="3"/>
      <c r="J130" s="132">
        <f>+J121+J128</f>
        <v>37277378.64238207</v>
      </c>
      <c r="K130" s="132">
        <f>+K121+K128</f>
        <v>40017308.184596546</v>
      </c>
      <c r="L130" s="132">
        <f>+L121+L128</f>
        <v>44307580.487364188</v>
      </c>
      <c r="M130" s="132">
        <f>+M121+M128</f>
        <v>49975397.037403435</v>
      </c>
      <c r="N130" s="132">
        <f>+N121+N128</f>
        <v>57216629.770967856</v>
      </c>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row>
    <row r="131" spans="1:74" ht="12.75" x14ac:dyDescent="0.2">
      <c r="B131" s="26"/>
      <c r="C131" s="3"/>
      <c r="D131" s="3"/>
      <c r="E131" s="3"/>
      <c r="F131" s="3"/>
      <c r="G131" s="252"/>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row>
    <row r="132" spans="1:74" ht="12.75" x14ac:dyDescent="0.2">
      <c r="B132" s="26"/>
      <c r="C132" s="3">
        <f t="shared" ref="C132:H132" si="86">+C109-C130</f>
        <v>0</v>
      </c>
      <c r="D132" s="3">
        <f t="shared" si="86"/>
        <v>0</v>
      </c>
      <c r="E132" s="3">
        <f t="shared" si="86"/>
        <v>0</v>
      </c>
      <c r="F132" s="3">
        <f t="shared" si="86"/>
        <v>0</v>
      </c>
      <c r="G132" s="3">
        <f t="shared" si="86"/>
        <v>0</v>
      </c>
      <c r="H132" s="3">
        <f t="shared" si="86"/>
        <v>4.0000006556510925E-2</v>
      </c>
      <c r="I132" s="3"/>
      <c r="J132" s="3">
        <f>+J109-J130</f>
        <v>0</v>
      </c>
      <c r="K132" s="3">
        <f>+K109-K130</f>
        <v>0</v>
      </c>
      <c r="L132" s="3">
        <f>+L109-L130</f>
        <v>0</v>
      </c>
      <c r="M132" s="3">
        <f>+M109-M130</f>
        <v>0</v>
      </c>
      <c r="N132" s="3">
        <f>+N109-N130</f>
        <v>0</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row>
    <row r="133" spans="1:74" ht="12.75" x14ac:dyDescent="0.2">
      <c r="B133" s="26"/>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row>
    <row r="134" spans="1:74" ht="12.75" x14ac:dyDescent="0.2">
      <c r="B134" s="26"/>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row>
    <row r="135" spans="1:74" ht="12.75" x14ac:dyDescent="0.2">
      <c r="A135" s="1" t="s">
        <v>132</v>
      </c>
      <c r="B135" s="82" t="s">
        <v>140</v>
      </c>
      <c r="C135" s="415"/>
      <c r="D135" s="415"/>
      <c r="E135" s="415"/>
      <c r="F135" s="415"/>
      <c r="G135" s="415"/>
      <c r="H135" s="415"/>
      <c r="J135" s="415" t="s">
        <v>60</v>
      </c>
      <c r="K135" s="415"/>
      <c r="L135" s="415"/>
      <c r="M135" s="415"/>
      <c r="N135" s="415"/>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row>
    <row r="136" spans="1:74" ht="27" customHeight="1" x14ac:dyDescent="0.2">
      <c r="B136" s="11" t="s">
        <v>5</v>
      </c>
      <c r="C136" s="11">
        <f t="shared" ref="C136:H136" si="87">+C6</f>
        <v>2010</v>
      </c>
      <c r="D136" s="11">
        <f t="shared" si="87"/>
        <v>2011</v>
      </c>
      <c r="E136" s="11">
        <f t="shared" si="87"/>
        <v>2012</v>
      </c>
      <c r="F136" s="11">
        <f t="shared" si="87"/>
        <v>2013</v>
      </c>
      <c r="G136" s="15" t="str">
        <f t="shared" si="87"/>
        <v>2014
anualizado</v>
      </c>
      <c r="H136" s="12" t="str">
        <f t="shared" si="87"/>
        <v xml:space="preserve">2014 Sep Real </v>
      </c>
      <c r="I136" s="81" t="s">
        <v>61</v>
      </c>
      <c r="J136" s="11">
        <f>+J77</f>
        <v>2015</v>
      </c>
      <c r="K136" s="11">
        <f>+K77</f>
        <v>2016</v>
      </c>
      <c r="L136" s="11">
        <f>+L77</f>
        <v>2017</v>
      </c>
      <c r="M136" s="11">
        <f>+M77</f>
        <v>2018</v>
      </c>
      <c r="N136" s="11">
        <f>+N77</f>
        <v>2019</v>
      </c>
      <c r="O136" s="12" t="s">
        <v>62</v>
      </c>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row>
    <row r="137" spans="1:74" ht="3.75" customHeight="1" x14ac:dyDescent="0.2">
      <c r="B137" s="8"/>
      <c r="G137" s="16"/>
    </row>
    <row r="138" spans="1:74" ht="12.75" x14ac:dyDescent="0.2">
      <c r="B138" s="25" t="s">
        <v>55</v>
      </c>
      <c r="C138" s="3">
        <f>+C79/(C$13/360)</f>
        <v>11.390408008137882</v>
      </c>
      <c r="D138" s="3">
        <f>+D79/(D$13/360)</f>
        <v>2.2004827161706562</v>
      </c>
      <c r="E138" s="3">
        <f>+E79/(E$13/360)</f>
        <v>16.203856422130958</v>
      </c>
      <c r="F138" s="3">
        <f>+F79/(F$13/360)</f>
        <v>13.374448696250983</v>
      </c>
      <c r="G138" s="17"/>
      <c r="H138" s="84">
        <f>+H79/(H$13/240)</f>
        <v>14.04034765473215</v>
      </c>
      <c r="I138" s="3"/>
      <c r="J138" s="3">
        <v>10</v>
      </c>
      <c r="K138" s="3">
        <v>10</v>
      </c>
      <c r="L138" s="3">
        <f t="shared" ref="L138:N138" si="88">+K138</f>
        <v>10</v>
      </c>
      <c r="M138" s="3">
        <f t="shared" si="88"/>
        <v>10</v>
      </c>
      <c r="N138" s="3">
        <f t="shared" si="88"/>
        <v>10</v>
      </c>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row>
    <row r="139" spans="1:74" ht="12.75" x14ac:dyDescent="0.2">
      <c r="B139" s="31" t="s">
        <v>63</v>
      </c>
      <c r="C139" s="3">
        <f t="shared" ref="C139:F140" si="89">+C81/(C$13/360)</f>
        <v>61.270944487575441</v>
      </c>
      <c r="D139" s="3">
        <f t="shared" si="89"/>
        <v>52.823294292514554</v>
      </c>
      <c r="E139" s="3">
        <f t="shared" si="89"/>
        <v>28.681697230069741</v>
      </c>
      <c r="F139" s="3">
        <f t="shared" si="89"/>
        <v>46.765874518844704</v>
      </c>
      <c r="G139" s="17"/>
      <c r="H139" s="84">
        <f>+H81/(H$13/240)</f>
        <v>48.125459250376927</v>
      </c>
      <c r="I139" s="3"/>
      <c r="J139" s="3">
        <v>45</v>
      </c>
      <c r="K139" s="3">
        <f t="shared" ref="K139:K143" si="90">+J139</f>
        <v>45</v>
      </c>
      <c r="L139" s="3">
        <f t="shared" ref="L139:N139" si="91">+K139</f>
        <v>45</v>
      </c>
      <c r="M139" s="3">
        <f t="shared" si="91"/>
        <v>45</v>
      </c>
      <c r="N139" s="3">
        <f t="shared" si="91"/>
        <v>45</v>
      </c>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row>
    <row r="140" spans="1:74" ht="12.75" x14ac:dyDescent="0.2">
      <c r="B140" s="25" t="s">
        <v>56</v>
      </c>
      <c r="C140" s="3">
        <f t="shared" si="89"/>
        <v>2.8341283086533196</v>
      </c>
      <c r="D140" s="3">
        <f t="shared" si="89"/>
        <v>1.0692997889073603</v>
      </c>
      <c r="E140" s="3">
        <f t="shared" si="89"/>
        <v>1.1950021183968178</v>
      </c>
      <c r="F140" s="3">
        <f t="shared" si="89"/>
        <v>1.327627906362375</v>
      </c>
      <c r="G140" s="17"/>
      <c r="H140" s="84">
        <f>+H82/(H$13/240)</f>
        <v>1.0702151761335026</v>
      </c>
      <c r="I140" s="3"/>
      <c r="J140" s="3">
        <v>2</v>
      </c>
      <c r="K140" s="3">
        <f t="shared" si="90"/>
        <v>2</v>
      </c>
      <c r="L140" s="3">
        <f t="shared" ref="L140:N141" si="92">+K140</f>
        <v>2</v>
      </c>
      <c r="M140" s="3">
        <f t="shared" si="92"/>
        <v>2</v>
      </c>
      <c r="N140" s="3">
        <f t="shared" si="92"/>
        <v>2</v>
      </c>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row>
    <row r="141" spans="1:74" ht="12.75" x14ac:dyDescent="0.2">
      <c r="B141" s="31" t="s">
        <v>53</v>
      </c>
      <c r="C141" s="3">
        <f>+C83/(C$20/360)</f>
        <v>45.003311767252143</v>
      </c>
      <c r="D141" s="3">
        <f>+D83/(D$20/360)</f>
        <v>59.342909242818315</v>
      </c>
      <c r="E141" s="3">
        <f>+E83/(E$20/360)</f>
        <v>71.95495690644556</v>
      </c>
      <c r="F141" s="3">
        <f>+F83/(F$20/360)</f>
        <v>37.620258326057183</v>
      </c>
      <c r="G141" s="17"/>
      <c r="H141" s="84">
        <f>+H83/(H$20/240)</f>
        <v>38.11511453536238</v>
      </c>
      <c r="I141" s="3"/>
      <c r="J141" s="3">
        <v>40</v>
      </c>
      <c r="K141" s="3">
        <f t="shared" si="90"/>
        <v>40</v>
      </c>
      <c r="L141" s="3">
        <f>+K141</f>
        <v>40</v>
      </c>
      <c r="M141" s="3">
        <f t="shared" si="92"/>
        <v>40</v>
      </c>
      <c r="N141" s="3">
        <f t="shared" si="92"/>
        <v>40</v>
      </c>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row>
    <row r="142" spans="1:74" ht="12.75" x14ac:dyDescent="0.2">
      <c r="B142" s="31" t="s">
        <v>57</v>
      </c>
      <c r="C142" s="3">
        <f t="shared" ref="C142:F143" si="93">+C84/(C$13/360)</f>
        <v>16.802051338581872</v>
      </c>
      <c r="D142" s="3">
        <f t="shared" si="93"/>
        <v>10.517375046542577</v>
      </c>
      <c r="E142" s="3">
        <f t="shared" si="93"/>
        <v>11.484598117906106</v>
      </c>
      <c r="F142" s="3">
        <f t="shared" si="93"/>
        <v>8.7479071257286591</v>
      </c>
      <c r="G142" s="17"/>
      <c r="H142" s="84">
        <f>+H84/(H$13/240)</f>
        <v>11.068454780734173</v>
      </c>
      <c r="I142" s="3"/>
      <c r="J142" s="3">
        <v>10</v>
      </c>
      <c r="K142" s="3">
        <f t="shared" si="90"/>
        <v>10</v>
      </c>
      <c r="L142" s="3">
        <f t="shared" ref="L142:N142" si="94">+K142</f>
        <v>10</v>
      </c>
      <c r="M142" s="3">
        <f t="shared" si="94"/>
        <v>10</v>
      </c>
      <c r="N142" s="3">
        <f t="shared" si="94"/>
        <v>10</v>
      </c>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row>
    <row r="143" spans="1:74" ht="12.75" x14ac:dyDescent="0.2">
      <c r="B143" s="31" t="s">
        <v>54</v>
      </c>
      <c r="C143" s="3">
        <f t="shared" si="93"/>
        <v>0.59913887100388752</v>
      </c>
      <c r="D143" s="3">
        <f t="shared" si="93"/>
        <v>0.7302600080530971</v>
      </c>
      <c r="E143" s="3">
        <f t="shared" si="93"/>
        <v>0.99005026424231279</v>
      </c>
      <c r="F143" s="3">
        <f t="shared" si="93"/>
        <v>1.182738969919622</v>
      </c>
      <c r="G143" s="17"/>
      <c r="H143" s="84">
        <f>+H85/(H$13/240)</f>
        <v>2.5889445500120627</v>
      </c>
      <c r="I143" s="3"/>
      <c r="J143" s="3">
        <v>1</v>
      </c>
      <c r="K143" s="3">
        <f t="shared" si="90"/>
        <v>1</v>
      </c>
      <c r="L143" s="3">
        <f t="shared" ref="L143:N143" si="95">+K143</f>
        <v>1</v>
      </c>
      <c r="M143" s="3">
        <f t="shared" si="95"/>
        <v>1</v>
      </c>
      <c r="N143" s="3">
        <f t="shared" si="95"/>
        <v>1</v>
      </c>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row>
    <row r="144" spans="1:74" ht="3.75" customHeight="1" x14ac:dyDescent="0.2">
      <c r="B144" s="139"/>
      <c r="C144" s="140"/>
      <c r="D144" s="140"/>
      <c r="E144" s="140"/>
      <c r="F144" s="140"/>
      <c r="G144" s="141"/>
      <c r="H144" s="140"/>
      <c r="J144" s="139"/>
      <c r="K144" s="139"/>
      <c r="L144" s="139"/>
      <c r="M144" s="139"/>
      <c r="N144" s="139"/>
    </row>
    <row r="145" spans="1:74" ht="12.75" x14ac:dyDescent="0.2">
      <c r="B145" s="25" t="str">
        <f>+B111</f>
        <v>Proveedores</v>
      </c>
      <c r="C145" s="3">
        <f t="shared" ref="C145:F146" si="96">+C111/(C$20/360)</f>
        <v>52.762717065185569</v>
      </c>
      <c r="D145" s="3">
        <f t="shared" si="96"/>
        <v>47.576374644885611</v>
      </c>
      <c r="E145" s="3">
        <f t="shared" si="96"/>
        <v>40.908044531450898</v>
      </c>
      <c r="F145" s="3">
        <f t="shared" si="96"/>
        <v>29.489303271850137</v>
      </c>
      <c r="G145" s="17"/>
      <c r="H145" s="84">
        <f>+H111/(H$20/240)</f>
        <v>48.112545688924534</v>
      </c>
      <c r="I145" s="3"/>
      <c r="J145" s="3">
        <v>45</v>
      </c>
      <c r="K145" s="3">
        <f>+J145</f>
        <v>45</v>
      </c>
      <c r="L145" s="3">
        <f t="shared" ref="L145:N147" si="97">+K145</f>
        <v>45</v>
      </c>
      <c r="M145" s="3">
        <f t="shared" si="97"/>
        <v>45</v>
      </c>
      <c r="N145" s="3">
        <f t="shared" si="97"/>
        <v>45</v>
      </c>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row>
    <row r="146" spans="1:74" ht="12.75" x14ac:dyDescent="0.2">
      <c r="B146" s="25" t="str">
        <f t="shared" ref="B146:B147" si="98">+B112</f>
        <v>Acreedores Diversos</v>
      </c>
      <c r="C146" s="3">
        <f t="shared" si="96"/>
        <v>0.24918679404499258</v>
      </c>
      <c r="D146" s="3">
        <f t="shared" si="96"/>
        <v>0.17330632256867853</v>
      </c>
      <c r="E146" s="3">
        <f t="shared" si="96"/>
        <v>0.18338236006994618</v>
      </c>
      <c r="F146" s="3">
        <f t="shared" si="96"/>
        <v>0.21612285547743484</v>
      </c>
      <c r="G146" s="17"/>
      <c r="H146" s="84">
        <f>+H112/(H$20/240)</f>
        <v>0.86397826214397011</v>
      </c>
      <c r="I146" s="3"/>
      <c r="J146" s="3">
        <v>1</v>
      </c>
      <c r="K146" s="3">
        <f>+J146</f>
        <v>1</v>
      </c>
      <c r="L146" s="3">
        <f t="shared" ref="L146" si="99">+K146</f>
        <v>1</v>
      </c>
      <c r="M146" s="3">
        <f t="shared" ref="M146" si="100">+L146</f>
        <v>1</v>
      </c>
      <c r="N146" s="3">
        <f t="shared" ref="N146" si="101">+M146</f>
        <v>1</v>
      </c>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row>
    <row r="147" spans="1:74" ht="12.75" x14ac:dyDescent="0.2">
      <c r="B147" s="25" t="str">
        <f t="shared" si="98"/>
        <v>Impuestos por Pagar</v>
      </c>
      <c r="C147" s="84">
        <f>+C113/(C$13/240)</f>
        <v>0.92954714661154836</v>
      </c>
      <c r="D147" s="84">
        <f t="shared" ref="D147:F147" si="102">+D113/(D$13/240)</f>
        <v>1.9296490632518233</v>
      </c>
      <c r="E147" s="84">
        <f t="shared" si="102"/>
        <v>1.7808488373408797</v>
      </c>
      <c r="F147" s="84">
        <f t="shared" si="102"/>
        <v>1.4399272571788508</v>
      </c>
      <c r="G147" s="17"/>
      <c r="H147" s="84">
        <f>+H113/(H$13/240)</f>
        <v>10.581646994679135</v>
      </c>
      <c r="I147" s="3"/>
      <c r="J147" s="3">
        <v>5</v>
      </c>
      <c r="K147" s="3">
        <f>+J147</f>
        <v>5</v>
      </c>
      <c r="L147" s="3">
        <f t="shared" si="97"/>
        <v>5</v>
      </c>
      <c r="M147" s="3">
        <f t="shared" si="97"/>
        <v>5</v>
      </c>
      <c r="N147" s="3">
        <f t="shared" si="97"/>
        <v>5</v>
      </c>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row>
    <row r="148" spans="1:74" ht="3.75" customHeight="1" x14ac:dyDescent="0.2">
      <c r="B148" s="8"/>
      <c r="G148" s="16"/>
    </row>
    <row r="149" spans="1:74" ht="12.75" x14ac:dyDescent="0.2">
      <c r="B149" s="38" t="s">
        <v>58</v>
      </c>
      <c r="C149" s="5">
        <f t="shared" ref="C149:H149" si="103">+C86-C79-C116</f>
        <v>18512135</v>
      </c>
      <c r="D149" s="5">
        <f t="shared" si="103"/>
        <v>23240134</v>
      </c>
      <c r="E149" s="5">
        <f t="shared" si="103"/>
        <v>19719661</v>
      </c>
      <c r="F149" s="5">
        <f t="shared" si="103"/>
        <v>16484183</v>
      </c>
      <c r="G149" s="45">
        <f t="shared" si="103"/>
        <v>0</v>
      </c>
      <c r="H149" s="5">
        <f t="shared" si="103"/>
        <v>14053808.5</v>
      </c>
      <c r="I149" s="3"/>
      <c r="J149" s="5">
        <f>+J86-J79-J116</f>
        <v>14799454.297531847</v>
      </c>
      <c r="K149" s="5">
        <f>+K86-K79-K116</f>
        <v>16269335.811318403</v>
      </c>
      <c r="L149" s="5">
        <f>+L86-L79-L116</f>
        <v>17917843.782496016</v>
      </c>
      <c r="M149" s="5">
        <f>+M86-M79-M116</f>
        <v>19783525.756459411</v>
      </c>
      <c r="N149" s="5">
        <f>+N86-N79-N116</f>
        <v>21913793.553603176</v>
      </c>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row>
    <row r="150" spans="1:74" ht="12.75"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row>
    <row r="151" spans="1:74" ht="12.75"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row>
    <row r="152" spans="1:74" ht="12.75" x14ac:dyDescent="0.2">
      <c r="A152" s="1" t="s">
        <v>132</v>
      </c>
      <c r="B152" s="82" t="s">
        <v>139</v>
      </c>
      <c r="C152" s="415"/>
      <c r="D152" s="415"/>
      <c r="E152" s="415"/>
      <c r="F152" s="415"/>
      <c r="G152" s="415"/>
      <c r="H152" s="415"/>
      <c r="I152" s="3"/>
      <c r="J152" s="415" t="s">
        <v>60</v>
      </c>
      <c r="K152" s="415"/>
      <c r="L152" s="415"/>
      <c r="M152" s="415"/>
      <c r="N152" s="415"/>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row>
    <row r="153" spans="1:74" ht="22.5" customHeight="1" x14ac:dyDescent="0.2">
      <c r="B153" s="11" t="s">
        <v>5</v>
      </c>
      <c r="C153" s="11">
        <f t="shared" ref="C153:H153" si="104">+C6</f>
        <v>2010</v>
      </c>
      <c r="D153" s="11">
        <f t="shared" si="104"/>
        <v>2011</v>
      </c>
      <c r="E153" s="11">
        <f t="shared" si="104"/>
        <v>2012</v>
      </c>
      <c r="F153" s="11">
        <f t="shared" si="104"/>
        <v>2013</v>
      </c>
      <c r="G153" s="15" t="str">
        <f t="shared" si="104"/>
        <v>2014
anualizado</v>
      </c>
      <c r="H153" s="12" t="str">
        <f t="shared" si="104"/>
        <v xml:space="preserve">2014 Sep Real </v>
      </c>
      <c r="I153" s="12" t="s">
        <v>61</v>
      </c>
      <c r="J153" s="11">
        <f>+J77</f>
        <v>2015</v>
      </c>
      <c r="K153" s="11">
        <f>+K77</f>
        <v>2016</v>
      </c>
      <c r="L153" s="11">
        <f>+L77</f>
        <v>2017</v>
      </c>
      <c r="M153" s="11">
        <f>+M77</f>
        <v>2018</v>
      </c>
      <c r="N153" s="11">
        <f>+N77</f>
        <v>2019</v>
      </c>
      <c r="O153" s="12" t="s">
        <v>62</v>
      </c>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row>
    <row r="154" spans="1:74" ht="3.75" customHeight="1" x14ac:dyDescent="0.2">
      <c r="B154" s="8"/>
      <c r="G154" s="16"/>
    </row>
    <row r="155" spans="1:74" ht="12.75" x14ac:dyDescent="0.2">
      <c r="B155" s="1" t="s">
        <v>64</v>
      </c>
      <c r="C155" s="3">
        <f>+C72</f>
        <v>436732.00000000745</v>
      </c>
      <c r="D155" s="3">
        <f>+D72</f>
        <v>2653091.0000000075</v>
      </c>
      <c r="E155" s="3">
        <f>+E72</f>
        <v>663134.00000000745</v>
      </c>
      <c r="F155" s="3">
        <f>+F72</f>
        <v>-1984920.9999999925</v>
      </c>
      <c r="G155" s="17"/>
      <c r="H155" s="3">
        <f>+H72</f>
        <v>-1866051.8100000124</v>
      </c>
      <c r="I155" s="3"/>
      <c r="J155" s="3">
        <f>+J72</f>
        <v>-83144.034862408414</v>
      </c>
      <c r="K155" s="3">
        <f>+K72</f>
        <v>1657637.9606915233</v>
      </c>
      <c r="L155" s="3">
        <f>+L72</f>
        <v>2939923.4509413382</v>
      </c>
      <c r="M155" s="3">
        <f>+M72</f>
        <v>4070613.923019405</v>
      </c>
      <c r="N155" s="3">
        <f>+N72</f>
        <v>5431900.6589258574</v>
      </c>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row>
    <row r="156" spans="1:74" ht="12.75" x14ac:dyDescent="0.2">
      <c r="B156" s="2" t="s">
        <v>65</v>
      </c>
      <c r="C156" s="3"/>
      <c r="D156" s="3">
        <f>+D51*0</f>
        <v>0</v>
      </c>
      <c r="E156" s="3">
        <f>+E51*0</f>
        <v>0</v>
      </c>
      <c r="F156" s="3">
        <f>+F51*0</f>
        <v>0</v>
      </c>
      <c r="G156" s="17"/>
      <c r="H156" s="3">
        <f>+H51*0</f>
        <v>0</v>
      </c>
      <c r="I156" s="3"/>
      <c r="J156" s="3">
        <f>+J51</f>
        <v>121673.94239999985</v>
      </c>
      <c r="K156" s="3">
        <f t="shared" ref="K156:N156" si="105">+K51</f>
        <v>237953.77892249977</v>
      </c>
      <c r="L156" s="3">
        <f t="shared" si="105"/>
        <v>211690.66011337491</v>
      </c>
      <c r="M156" s="3">
        <f t="shared" si="105"/>
        <v>322377.29218644381</v>
      </c>
      <c r="N156" s="3">
        <f t="shared" si="105"/>
        <v>280064.510795551</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row>
    <row r="157" spans="1:74" ht="12.75" x14ac:dyDescent="0.2">
      <c r="B157" s="2" t="s">
        <v>389</v>
      </c>
      <c r="C157" s="4"/>
      <c r="D157" s="4">
        <f>+D52</f>
        <v>15905</v>
      </c>
      <c r="E157" s="4">
        <f t="shared" ref="E157:F157" si="106">+E52</f>
        <v>15905</v>
      </c>
      <c r="F157" s="4">
        <f t="shared" si="106"/>
        <v>16453</v>
      </c>
      <c r="G157" s="18"/>
      <c r="H157" s="4">
        <f>+H52</f>
        <v>14395.380000000005</v>
      </c>
      <c r="I157" s="3"/>
      <c r="J157" s="301">
        <f>-J99+H99-J103+H103</f>
        <v>16500</v>
      </c>
      <c r="K157" s="301">
        <f>-K99+J99-K103+J103</f>
        <v>16500</v>
      </c>
      <c r="L157" s="301">
        <f t="shared" ref="L157:N157" si="107">-L99+K99-L103+K103</f>
        <v>16500</v>
      </c>
      <c r="M157" s="301">
        <f t="shared" si="107"/>
        <v>16500</v>
      </c>
      <c r="N157" s="301">
        <f t="shared" si="107"/>
        <v>16500</v>
      </c>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row>
    <row r="158" spans="1:74" ht="12.75" x14ac:dyDescent="0.2">
      <c r="B158" s="43" t="s">
        <v>66</v>
      </c>
      <c r="C158" s="5">
        <f>+SUM(C155:C157)</f>
        <v>436732.00000000745</v>
      </c>
      <c r="D158" s="5">
        <f t="shared" ref="D158:F158" si="108">+SUM(D155:D157)</f>
        <v>2668996.0000000075</v>
      </c>
      <c r="E158" s="5">
        <f t="shared" si="108"/>
        <v>679039.00000000745</v>
      </c>
      <c r="F158" s="5">
        <f t="shared" si="108"/>
        <v>-1968467.9999999925</v>
      </c>
      <c r="G158" s="19"/>
      <c r="H158" s="5">
        <f>+SUM(H155:H157)</f>
        <v>-1851656.4300000123</v>
      </c>
      <c r="I158" s="3"/>
      <c r="J158" s="5">
        <f>+SUM(J155:J157)</f>
        <v>55029.90753759144</v>
      </c>
      <c r="K158" s="5">
        <f t="shared" ref="K158:N158" si="109">+SUM(K155:K157)</f>
        <v>1912091.7396140231</v>
      </c>
      <c r="L158" s="5">
        <f t="shared" si="109"/>
        <v>3168114.1110547129</v>
      </c>
      <c r="M158" s="5">
        <f t="shared" si="109"/>
        <v>4409491.2152058491</v>
      </c>
      <c r="N158" s="5">
        <f t="shared" si="109"/>
        <v>5728465.1697214087</v>
      </c>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row>
    <row r="159" spans="1:74" ht="3.75" customHeight="1" x14ac:dyDescent="0.2">
      <c r="B159" s="8"/>
      <c r="G159" s="16"/>
    </row>
    <row r="160" spans="1:74" ht="12.75" x14ac:dyDescent="0.2">
      <c r="B160" s="44" t="str">
        <f t="shared" ref="B160:B166" si="110">+B79</f>
        <v>Efectivo y Equivalentes</v>
      </c>
      <c r="C160" s="3"/>
      <c r="D160" s="3">
        <f t="shared" ref="D160:F166" si="111">+C79-D79</f>
        <v>2472667</v>
      </c>
      <c r="E160" s="3">
        <f t="shared" si="111"/>
        <v>-4365376</v>
      </c>
      <c r="F160" s="3">
        <f t="shared" si="111"/>
        <v>1296965</v>
      </c>
      <c r="G160" s="17"/>
      <c r="H160" s="3">
        <f t="shared" ref="H160:H166" si="112">+F79-H79</f>
        <v>-802141.78000000026</v>
      </c>
      <c r="I160" s="3"/>
      <c r="J160" s="3">
        <f t="shared" ref="J160:J166" si="113">+H79-J79</f>
        <v>1560078.248459259</v>
      </c>
      <c r="K160" s="3">
        <f t="shared" ref="K160:N166" si="114">+J79-K79</f>
        <v>-301924.58239666605</v>
      </c>
      <c r="L160" s="3">
        <f t="shared" si="114"/>
        <v>-341496.21503005782</v>
      </c>
      <c r="M160" s="3">
        <f t="shared" si="114"/>
        <v>-387939.6707318658</v>
      </c>
      <c r="N160" s="3">
        <f t="shared" si="114"/>
        <v>-442652.79006186686</v>
      </c>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row>
    <row r="161" spans="2:74" ht="12.75" x14ac:dyDescent="0.2">
      <c r="B161" s="44" t="str">
        <f t="shared" si="110"/>
        <v>Inversiones y valores</v>
      </c>
      <c r="C161" s="3"/>
      <c r="D161" s="3">
        <f t="shared" si="111"/>
        <v>0</v>
      </c>
      <c r="E161" s="3">
        <f t="shared" si="111"/>
        <v>0</v>
      </c>
      <c r="F161" s="3">
        <f t="shared" si="111"/>
        <v>0</v>
      </c>
      <c r="G161" s="17"/>
      <c r="H161" s="3">
        <f t="shared" si="112"/>
        <v>-500</v>
      </c>
      <c r="I161" s="3"/>
      <c r="J161" s="3">
        <f t="shared" si="113"/>
        <v>500</v>
      </c>
      <c r="K161" s="3">
        <f t="shared" si="114"/>
        <v>0</v>
      </c>
      <c r="L161" s="3">
        <f t="shared" si="114"/>
        <v>0</v>
      </c>
      <c r="M161" s="3">
        <f t="shared" si="114"/>
        <v>0</v>
      </c>
      <c r="N161" s="3">
        <f t="shared" si="114"/>
        <v>0</v>
      </c>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row>
    <row r="162" spans="2:74" ht="12.75" x14ac:dyDescent="0.2">
      <c r="B162" s="44" t="str">
        <f t="shared" si="110"/>
        <v>Clientes</v>
      </c>
      <c r="C162" s="3"/>
      <c r="D162" s="3">
        <f t="shared" si="111"/>
        <v>-1631800</v>
      </c>
      <c r="E162" s="3">
        <f t="shared" si="111"/>
        <v>10099197</v>
      </c>
      <c r="F162" s="3">
        <f t="shared" si="111"/>
        <v>-4386463</v>
      </c>
      <c r="G162" s="17"/>
      <c r="H162" s="3">
        <f t="shared" si="112"/>
        <v>-2482412.3100000005</v>
      </c>
      <c r="I162" s="3"/>
      <c r="J162" s="3">
        <f t="shared" si="113"/>
        <v>2010075.9180666655</v>
      </c>
      <c r="K162" s="3">
        <f t="shared" si="114"/>
        <v>-1358660.6207849979</v>
      </c>
      <c r="L162" s="3">
        <f t="shared" si="114"/>
        <v>-1536732.9676352609</v>
      </c>
      <c r="M162" s="3">
        <f t="shared" si="114"/>
        <v>-1745728.5182933956</v>
      </c>
      <c r="N162" s="3">
        <f t="shared" si="114"/>
        <v>-1991937.5552784018</v>
      </c>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row>
    <row r="163" spans="2:74" ht="12.75" x14ac:dyDescent="0.2">
      <c r="B163" s="44" t="str">
        <f t="shared" si="110"/>
        <v>Deudores Diversos</v>
      </c>
      <c r="C163" s="3"/>
      <c r="D163" s="3">
        <f t="shared" si="111"/>
        <v>425140</v>
      </c>
      <c r="E163" s="3">
        <f t="shared" si="111"/>
        <v>8518</v>
      </c>
      <c r="F163" s="3">
        <f t="shared" si="111"/>
        <v>-3109</v>
      </c>
      <c r="G163" s="17"/>
      <c r="H163" s="3">
        <f t="shared" si="112"/>
        <v>28031.510000000009</v>
      </c>
      <c r="I163" s="3"/>
      <c r="J163" s="3">
        <f t="shared" si="113"/>
        <v>-266296.61630814825</v>
      </c>
      <c r="K163" s="3">
        <f t="shared" si="114"/>
        <v>-60384.916479333187</v>
      </c>
      <c r="L163" s="3">
        <f t="shared" si="114"/>
        <v>-68299.243006011588</v>
      </c>
      <c r="M163" s="3">
        <f t="shared" si="114"/>
        <v>-77587.934146373183</v>
      </c>
      <c r="N163" s="3">
        <f t="shared" si="114"/>
        <v>-88530.558012373396</v>
      </c>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row>
    <row r="164" spans="2:74" ht="12.75" x14ac:dyDescent="0.2">
      <c r="B164" s="44" t="str">
        <f t="shared" si="110"/>
        <v>Inventarios</v>
      </c>
      <c r="C164" s="3"/>
      <c r="D164" s="3">
        <f t="shared" si="111"/>
        <v>-7199997</v>
      </c>
      <c r="E164" s="3">
        <f t="shared" si="111"/>
        <v>-1622878</v>
      </c>
      <c r="F164" s="3">
        <f t="shared" si="111"/>
        <v>10284080</v>
      </c>
      <c r="G164" s="17"/>
      <c r="H164" s="3">
        <f t="shared" si="112"/>
        <v>-1831899.8800000008</v>
      </c>
      <c r="I164" s="3"/>
      <c r="J164" s="3">
        <f t="shared" si="113"/>
        <v>400061.14815995842</v>
      </c>
      <c r="K164" s="3">
        <f t="shared" si="114"/>
        <v>-801010.51740884781</v>
      </c>
      <c r="L164" s="3">
        <f t="shared" si="114"/>
        <v>-1018178.7758295741</v>
      </c>
      <c r="M164" s="3">
        <f t="shared" si="114"/>
        <v>-1212834.5107384231</v>
      </c>
      <c r="N164" s="3">
        <f t="shared" si="114"/>
        <v>-1372213.6894234922</v>
      </c>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row>
    <row r="165" spans="2:74" ht="12.75" x14ac:dyDescent="0.2">
      <c r="B165" s="44" t="str">
        <f t="shared" si="110"/>
        <v>Impuestos a Favor</v>
      </c>
      <c r="C165" s="3"/>
      <c r="D165" s="3">
        <f t="shared" si="111"/>
        <v>998230</v>
      </c>
      <c r="E165" s="3">
        <f t="shared" si="111"/>
        <v>169609</v>
      </c>
      <c r="F165" s="3">
        <f t="shared" si="111"/>
        <v>1130855</v>
      </c>
      <c r="G165" s="17"/>
      <c r="H165" s="3">
        <f t="shared" si="112"/>
        <v>-1151939.92</v>
      </c>
      <c r="I165" s="3"/>
      <c r="J165" s="3">
        <f t="shared" si="113"/>
        <v>571110.38845925871</v>
      </c>
      <c r="K165" s="3">
        <f t="shared" si="114"/>
        <v>-301924.58239666605</v>
      </c>
      <c r="L165" s="3">
        <f t="shared" si="114"/>
        <v>-341496.21503005782</v>
      </c>
      <c r="M165" s="3">
        <f t="shared" si="114"/>
        <v>-387939.6707318658</v>
      </c>
      <c r="N165" s="3">
        <f t="shared" si="114"/>
        <v>-442652.79006186686</v>
      </c>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row>
    <row r="166" spans="2:74" ht="12.75" x14ac:dyDescent="0.2">
      <c r="B166" s="44" t="str">
        <f t="shared" si="110"/>
        <v>Otros Activos Circulantes</v>
      </c>
      <c r="C166" s="3"/>
      <c r="D166" s="3">
        <f t="shared" si="111"/>
        <v>-93824</v>
      </c>
      <c r="E166" s="3">
        <f t="shared" si="111"/>
        <v>-49650</v>
      </c>
      <c r="F166" s="3">
        <f t="shared" si="111"/>
        <v>-26538</v>
      </c>
      <c r="G166" s="17"/>
      <c r="H166" s="3">
        <f t="shared" si="112"/>
        <v>-519287.72</v>
      </c>
      <c r="I166" s="3"/>
      <c r="J166" s="3">
        <f t="shared" si="113"/>
        <v>550314.66684592585</v>
      </c>
      <c r="K166" s="3">
        <f t="shared" si="114"/>
        <v>-30192.458239666594</v>
      </c>
      <c r="L166" s="3">
        <f t="shared" si="114"/>
        <v>-34149.621503005794</v>
      </c>
      <c r="M166" s="3">
        <f t="shared" si="114"/>
        <v>-38793.967073186592</v>
      </c>
      <c r="N166" s="3">
        <f t="shared" si="114"/>
        <v>-44265.279006186698</v>
      </c>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row>
    <row r="167" spans="2:74" ht="12.75" x14ac:dyDescent="0.2">
      <c r="B167" s="44" t="str">
        <f>+B98</f>
        <v xml:space="preserve">Gastos de instalacion </v>
      </c>
      <c r="C167" s="3"/>
      <c r="D167" s="3">
        <f t="shared" ref="D167:F167" si="115">+C98-D98</f>
        <v>0</v>
      </c>
      <c r="E167" s="3">
        <f t="shared" si="115"/>
        <v>0</v>
      </c>
      <c r="F167" s="3">
        <f t="shared" si="115"/>
        <v>-65805</v>
      </c>
      <c r="G167" s="17"/>
      <c r="H167" s="3">
        <f>+F98-H98</f>
        <v>0.88999999966472387</v>
      </c>
      <c r="I167" s="3"/>
      <c r="J167" s="3">
        <f>+H98-J98</f>
        <v>0</v>
      </c>
      <c r="K167" s="3">
        <f t="shared" ref="K167:N167" si="116">+J98-K98</f>
        <v>0</v>
      </c>
      <c r="L167" s="3">
        <f t="shared" si="116"/>
        <v>0</v>
      </c>
      <c r="M167" s="3">
        <f t="shared" si="116"/>
        <v>0</v>
      </c>
      <c r="N167" s="3">
        <f t="shared" si="116"/>
        <v>0</v>
      </c>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row>
    <row r="168" spans="2:74" ht="12.75" x14ac:dyDescent="0.2">
      <c r="B168" s="44" t="str">
        <f t="shared" ref="B168:B169" si="117">+B100</f>
        <v>Actualización Gastos Diferidos</v>
      </c>
      <c r="C168" s="3"/>
      <c r="D168" s="3">
        <f t="shared" ref="D168:F168" si="118">+C100-D100</f>
        <v>0</v>
      </c>
      <c r="E168" s="3">
        <f t="shared" si="118"/>
        <v>0</v>
      </c>
      <c r="F168" s="3">
        <f t="shared" si="118"/>
        <v>0</v>
      </c>
      <c r="G168" s="17"/>
      <c r="H168" s="3">
        <f t="shared" ref="H168:H169" si="119">+F100-H100</f>
        <v>-0.51999999955296516</v>
      </c>
      <c r="I168" s="3"/>
      <c r="J168" s="3">
        <f t="shared" ref="J168:J169" si="120">+H100-J100</f>
        <v>0</v>
      </c>
      <c r="K168" s="3">
        <f t="shared" ref="K168:N168" si="121">+J100-K100</f>
        <v>0</v>
      </c>
      <c r="L168" s="3">
        <f t="shared" si="121"/>
        <v>0</v>
      </c>
      <c r="M168" s="3">
        <f t="shared" si="121"/>
        <v>0</v>
      </c>
      <c r="N168" s="3">
        <f t="shared" si="121"/>
        <v>0</v>
      </c>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row>
    <row r="169" spans="2:74" ht="12.75" x14ac:dyDescent="0.2">
      <c r="B169" s="44" t="str">
        <f t="shared" si="117"/>
        <v>(Depreciación Actualización Gastos Diferidos)</v>
      </c>
      <c r="C169" s="3"/>
      <c r="D169" s="3">
        <f t="shared" ref="D169:F169" si="122">+C101-D101</f>
        <v>0</v>
      </c>
      <c r="E169" s="3">
        <f t="shared" si="122"/>
        <v>0</v>
      </c>
      <c r="F169" s="3">
        <f t="shared" si="122"/>
        <v>0</v>
      </c>
      <c r="G169" s="17"/>
      <c r="H169" s="3">
        <f t="shared" si="119"/>
        <v>0.28000000026077032</v>
      </c>
      <c r="I169" s="3"/>
      <c r="J169" s="3">
        <f t="shared" si="120"/>
        <v>0</v>
      </c>
      <c r="K169" s="3">
        <f t="shared" ref="K169:N169" si="123">+J101-K101</f>
        <v>0</v>
      </c>
      <c r="L169" s="3">
        <f t="shared" si="123"/>
        <v>0</v>
      </c>
      <c r="M169" s="3">
        <f t="shared" si="123"/>
        <v>0</v>
      </c>
      <c r="N169" s="3">
        <f t="shared" si="123"/>
        <v>0</v>
      </c>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row>
    <row r="170" spans="2:74" ht="12.75" x14ac:dyDescent="0.2">
      <c r="B170" s="44" t="str">
        <f>+B102</f>
        <v>Formula Ecoclub IEQ</v>
      </c>
      <c r="C170" s="3"/>
      <c r="D170" s="3">
        <f t="shared" ref="D170:F170" si="124">+C102-D102</f>
        <v>0</v>
      </c>
      <c r="E170" s="3">
        <f t="shared" si="124"/>
        <v>0</v>
      </c>
      <c r="F170" s="3">
        <f t="shared" si="124"/>
        <v>0</v>
      </c>
      <c r="G170" s="17"/>
      <c r="H170" s="3">
        <f>+F102-H102</f>
        <v>0</v>
      </c>
      <c r="I170" s="3"/>
      <c r="J170" s="3">
        <f>+H102-J102</f>
        <v>0</v>
      </c>
      <c r="K170" s="3">
        <f>+J102-K102</f>
        <v>0</v>
      </c>
      <c r="L170" s="3">
        <f>+K102-L102</f>
        <v>0</v>
      </c>
      <c r="M170" s="3">
        <f>+L102-M102</f>
        <v>0</v>
      </c>
      <c r="N170" s="3">
        <f>+M102-N102</f>
        <v>0</v>
      </c>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row>
    <row r="171" spans="2:74" ht="12.75" x14ac:dyDescent="0.2">
      <c r="B171" s="44" t="str">
        <f>+B104</f>
        <v>Depositos en garantia</v>
      </c>
      <c r="C171" s="3"/>
      <c r="D171" s="3">
        <f>+C104-D104</f>
        <v>260</v>
      </c>
      <c r="E171" s="3">
        <f>+D104-E104</f>
        <v>0</v>
      </c>
      <c r="F171" s="3">
        <f>+E104-F104</f>
        <v>-2000</v>
      </c>
      <c r="G171" s="17"/>
      <c r="H171" s="3">
        <f>+F104-H104</f>
        <v>0</v>
      </c>
      <c r="I171" s="3"/>
      <c r="J171" s="3">
        <f>+H104-J104</f>
        <v>0</v>
      </c>
      <c r="K171" s="3">
        <f>+J104-K104</f>
        <v>0</v>
      </c>
      <c r="L171" s="3">
        <f>+K104-L104</f>
        <v>0</v>
      </c>
      <c r="M171" s="3">
        <f>+L104-M104</f>
        <v>0</v>
      </c>
      <c r="N171" s="3">
        <f>+M104-N104</f>
        <v>0</v>
      </c>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row>
    <row r="172" spans="2:74" ht="12.75" x14ac:dyDescent="0.2">
      <c r="B172" s="44" t="str">
        <f>+B94</f>
        <v>Actualizacion de Activos Fijos</v>
      </c>
      <c r="C172" s="3"/>
      <c r="D172" s="3">
        <f>-C94+D94</f>
        <v>0</v>
      </c>
      <c r="E172" s="3">
        <f>-D94+E94</f>
        <v>0</v>
      </c>
      <c r="F172" s="3">
        <f>-E94+F94</f>
        <v>0</v>
      </c>
      <c r="G172" s="17"/>
      <c r="H172" s="3">
        <f>-F94+H94</f>
        <v>0</v>
      </c>
      <c r="I172" s="3"/>
      <c r="J172" s="3">
        <f>-H94+J94</f>
        <v>0</v>
      </c>
      <c r="K172" s="3">
        <f>-J94+K94</f>
        <v>0</v>
      </c>
      <c r="L172" s="3">
        <f t="shared" ref="L172:N172" si="125">-K94+L94</f>
        <v>0</v>
      </c>
      <c r="M172" s="3">
        <f t="shared" si="125"/>
        <v>0</v>
      </c>
      <c r="N172" s="3">
        <f t="shared" si="125"/>
        <v>0</v>
      </c>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row>
    <row r="173" spans="2:74" ht="12.75" x14ac:dyDescent="0.2">
      <c r="B173" s="44" t="str">
        <f>+B95</f>
        <v>(Depreciación Actualización de Activos Fijos)</v>
      </c>
      <c r="C173" s="3"/>
      <c r="D173" s="3">
        <f>+C95-D95</f>
        <v>430500</v>
      </c>
      <c r="E173" s="3">
        <f>-D95+E95</f>
        <v>0</v>
      </c>
      <c r="F173" s="3">
        <f>-E95+F95</f>
        <v>1</v>
      </c>
      <c r="G173" s="17"/>
      <c r="H173" s="3">
        <f>+F95-H95</f>
        <v>0</v>
      </c>
      <c r="I173" s="3"/>
      <c r="J173" s="3">
        <f>+H95-J95</f>
        <v>0</v>
      </c>
      <c r="K173" s="3">
        <f>+J95-K95</f>
        <v>0</v>
      </c>
      <c r="L173" s="3">
        <f t="shared" ref="L173:N173" si="126">+K95-L95</f>
        <v>0</v>
      </c>
      <c r="M173" s="3">
        <f t="shared" si="126"/>
        <v>0</v>
      </c>
      <c r="N173" s="3">
        <f t="shared" si="126"/>
        <v>0</v>
      </c>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row>
    <row r="174" spans="2:74" ht="12.75" x14ac:dyDescent="0.2">
      <c r="B174" s="44" t="str">
        <f>+B111</f>
        <v>Proveedores</v>
      </c>
      <c r="C174" s="3"/>
      <c r="D174" s="3">
        <f t="shared" ref="D174:F178" si="127">-C111+D111</f>
        <v>1657457</v>
      </c>
      <c r="E174" s="3">
        <f t="shared" si="127"/>
        <v>-3344958</v>
      </c>
      <c r="F174" s="3">
        <f t="shared" si="127"/>
        <v>-3770977</v>
      </c>
      <c r="G174" s="17"/>
      <c r="H174" s="3">
        <f>-F111+H111</f>
        <v>6924080.9100000001</v>
      </c>
      <c r="I174" s="3"/>
      <c r="J174" s="3">
        <f>-H111+J111</f>
        <v>-2025006.7116799522</v>
      </c>
      <c r="K174" s="3">
        <f t="shared" ref="K174:N178" si="128">-J111+K111</f>
        <v>901136.83208495378</v>
      </c>
      <c r="L174" s="3">
        <f t="shared" si="128"/>
        <v>1145451.1228082702</v>
      </c>
      <c r="M174" s="3">
        <f t="shared" si="128"/>
        <v>1364438.8245807253</v>
      </c>
      <c r="N174" s="3">
        <f t="shared" si="128"/>
        <v>1543740.4006014299</v>
      </c>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row>
    <row r="175" spans="2:74" ht="12.75" x14ac:dyDescent="0.2">
      <c r="B175" s="44" t="str">
        <f>+B112</f>
        <v>Acreedores Diversos</v>
      </c>
      <c r="C175" s="3"/>
      <c r="D175" s="3">
        <f t="shared" si="127"/>
        <v>-8019</v>
      </c>
      <c r="E175" s="3">
        <f t="shared" si="127"/>
        <v>-2669</v>
      </c>
      <c r="F175" s="3">
        <f t="shared" si="127"/>
        <v>4600</v>
      </c>
      <c r="G175" s="17"/>
      <c r="H175" s="3">
        <f>-F112+H112</f>
        <v>204647.17</v>
      </c>
      <c r="I175" s="3"/>
      <c r="J175" s="3">
        <f>-H112+J112</f>
        <v>51194.883154074108</v>
      </c>
      <c r="K175" s="3">
        <f t="shared" si="128"/>
        <v>30192.458239666594</v>
      </c>
      <c r="L175" s="3">
        <f t="shared" si="128"/>
        <v>34149.621503005794</v>
      </c>
      <c r="M175" s="3">
        <f t="shared" si="128"/>
        <v>38793.967073186592</v>
      </c>
      <c r="N175" s="3">
        <f t="shared" si="128"/>
        <v>44265.279006186698</v>
      </c>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row>
    <row r="176" spans="2:74" ht="12.75" x14ac:dyDescent="0.2">
      <c r="B176" s="44" t="str">
        <f>+B113</f>
        <v>Impuestos por Pagar</v>
      </c>
      <c r="C176" s="3"/>
      <c r="D176" s="3">
        <f t="shared" si="127"/>
        <v>653727</v>
      </c>
      <c r="E176" s="3">
        <f t="shared" si="127"/>
        <v>-202734</v>
      </c>
      <c r="F176" s="3">
        <f t="shared" si="127"/>
        <v>-226815</v>
      </c>
      <c r="G176" s="17"/>
      <c r="H176" s="3">
        <f>-F113+H113</f>
        <v>2896294.08</v>
      </c>
      <c r="I176" s="3"/>
      <c r="J176" s="3">
        <f>-H113+J113</f>
        <v>-1965203.8142296295</v>
      </c>
      <c r="K176" s="3">
        <f t="shared" si="128"/>
        <v>150962.29119833303</v>
      </c>
      <c r="L176" s="3">
        <f t="shared" si="128"/>
        <v>170748.10751502891</v>
      </c>
      <c r="M176" s="3">
        <f t="shared" si="128"/>
        <v>193969.8353659329</v>
      </c>
      <c r="N176" s="3">
        <f t="shared" si="128"/>
        <v>221326.39503093343</v>
      </c>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row>
    <row r="177" spans="2:74" ht="12.75" x14ac:dyDescent="0.2">
      <c r="B177" s="44" t="str">
        <f>+B114</f>
        <v>PTU</v>
      </c>
      <c r="C177" s="3"/>
      <c r="D177" s="3">
        <f t="shared" si="127"/>
        <v>248224</v>
      </c>
      <c r="E177" s="3">
        <f t="shared" si="127"/>
        <v>-273741</v>
      </c>
      <c r="F177" s="3">
        <f t="shared" si="127"/>
        <v>-224256</v>
      </c>
      <c r="G177" s="17"/>
      <c r="H177" s="3">
        <f>-F114+H114</f>
        <v>0.28999999999996362</v>
      </c>
      <c r="I177" s="3"/>
      <c r="J177" s="3">
        <f>-H114+J114</f>
        <v>-3585.29</v>
      </c>
      <c r="K177" s="3">
        <f t="shared" si="128"/>
        <v>0</v>
      </c>
      <c r="L177" s="3">
        <f t="shared" si="128"/>
        <v>0</v>
      </c>
      <c r="M177" s="3">
        <f t="shared" si="128"/>
        <v>0</v>
      </c>
      <c r="N177" s="3">
        <f t="shared" si="128"/>
        <v>0</v>
      </c>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row>
    <row r="178" spans="2:74" ht="12.75" x14ac:dyDescent="0.2">
      <c r="B178" s="44" t="str">
        <f>+B115</f>
        <v>Otros pasivos</v>
      </c>
      <c r="C178" s="4"/>
      <c r="D178" s="4">
        <f t="shared" si="127"/>
        <v>222863</v>
      </c>
      <c r="E178" s="4">
        <f t="shared" si="127"/>
        <v>-1260221</v>
      </c>
      <c r="F178" s="4">
        <f t="shared" si="127"/>
        <v>454101</v>
      </c>
      <c r="G178" s="18"/>
      <c r="H178" s="4">
        <f>-F115+H115</f>
        <v>-1636639.63</v>
      </c>
      <c r="I178" s="3"/>
      <c r="J178" s="4">
        <f>-H115+J115</f>
        <v>-68810.37</v>
      </c>
      <c r="K178" s="4">
        <f t="shared" si="128"/>
        <v>0</v>
      </c>
      <c r="L178" s="4">
        <f t="shared" si="128"/>
        <v>0</v>
      </c>
      <c r="M178" s="4">
        <f t="shared" si="128"/>
        <v>0</v>
      </c>
      <c r="N178" s="4">
        <f t="shared" si="128"/>
        <v>0</v>
      </c>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row>
    <row r="179" spans="2:74" s="43" customFormat="1" ht="12.75" x14ac:dyDescent="0.2">
      <c r="B179" s="43" t="s">
        <v>67</v>
      </c>
      <c r="C179" s="5"/>
      <c r="D179" s="5">
        <f>+SUM(D160:D178)</f>
        <v>-1824572</v>
      </c>
      <c r="E179" s="5">
        <f>+SUM(E160:E178)</f>
        <v>-844903</v>
      </c>
      <c r="F179" s="5">
        <f>+SUM(F160:F178)</f>
        <v>4464639</v>
      </c>
      <c r="G179" s="19"/>
      <c r="H179" s="5">
        <f>+SUM(H160:H178)</f>
        <v>1628233.3699999992</v>
      </c>
      <c r="I179" s="5"/>
      <c r="J179" s="5">
        <f>+SUM(J160:J178)</f>
        <v>814432.45092741225</v>
      </c>
      <c r="K179" s="5">
        <f>+SUM(K160:K178)</f>
        <v>-1771806.0961832243</v>
      </c>
      <c r="L179" s="5">
        <f>+SUM(L160:L178)</f>
        <v>-1990004.186207663</v>
      </c>
      <c r="M179" s="5">
        <f>+SUM(M160:M178)</f>
        <v>-2253621.6446952652</v>
      </c>
      <c r="N179" s="5">
        <f>+SUM(N160:N178)</f>
        <v>-2572920.5872056382</v>
      </c>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row>
    <row r="180" spans="2:74" ht="3.75" customHeight="1" x14ac:dyDescent="0.2">
      <c r="B180" s="8"/>
      <c r="G180" s="16"/>
    </row>
    <row r="181" spans="2:74" ht="12.75" x14ac:dyDescent="0.2">
      <c r="B181" s="43" t="s">
        <v>68</v>
      </c>
      <c r="C181" s="5"/>
      <c r="D181" s="5">
        <f>+D179+D158</f>
        <v>844424.00000000745</v>
      </c>
      <c r="E181" s="5">
        <f>+E179+E158</f>
        <v>-165863.99999999255</v>
      </c>
      <c r="F181" s="5">
        <f>+F179+F158</f>
        <v>2496171.0000000075</v>
      </c>
      <c r="G181" s="19"/>
      <c r="H181" s="5">
        <f>+H179+H158</f>
        <v>-223423.06000001309</v>
      </c>
      <c r="I181" s="3"/>
      <c r="J181" s="5">
        <f>+J179+J158</f>
        <v>869462.35846500366</v>
      </c>
      <c r="K181" s="5">
        <f>+K179+K158</f>
        <v>140285.64343079878</v>
      </c>
      <c r="L181" s="5">
        <f>+L179+L158</f>
        <v>1178109.9248470499</v>
      </c>
      <c r="M181" s="5">
        <f>+M179+M158</f>
        <v>2155869.5705105839</v>
      </c>
      <c r="N181" s="5">
        <f>+N179+N158</f>
        <v>3155544.5825157706</v>
      </c>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row>
    <row r="182" spans="2:74" ht="3.75" customHeight="1" x14ac:dyDescent="0.2">
      <c r="B182" s="8"/>
      <c r="G182" s="16"/>
    </row>
    <row r="183" spans="2:74" ht="12.75" x14ac:dyDescent="0.2">
      <c r="B183" s="44" t="s">
        <v>69</v>
      </c>
      <c r="C183" s="3"/>
      <c r="D183" s="3">
        <f>+SUM(C88:C94)-SUM(D88:D94)</f>
        <v>0</v>
      </c>
      <c r="E183" s="3">
        <f>+SUM(D88:D94)-SUM(E88:E94)</f>
        <v>477513</v>
      </c>
      <c r="F183" s="3">
        <f>+SUM(E88:E94)-SUM(F88:F94)</f>
        <v>668489</v>
      </c>
      <c r="G183" s="17"/>
      <c r="H183" s="3">
        <f>+SUM(F88:F94)-SUM(H88:H94)</f>
        <v>235916.05000000075</v>
      </c>
      <c r="I183" s="3"/>
      <c r="J183" s="55">
        <f>+SUM(H88:H92)-SUM(J88:J92)</f>
        <v>-189034.20399999991</v>
      </c>
      <c r="K183" s="55">
        <f>+SUM(J88:J92)-SUM(K88:K92)</f>
        <v>-634314.8756249994</v>
      </c>
      <c r="L183" s="55">
        <f>+SUM(K88:K92)-SUM(L88:L92)</f>
        <v>-215488.08133124933</v>
      </c>
      <c r="M183" s="55">
        <f>+SUM(L88:L92)-SUM(M88:M92)</f>
        <v>-698119.17776906304</v>
      </c>
      <c r="N183" s="55">
        <f>+SUM(M88:M92)-SUM(N88:N92)</f>
        <v>-234483.04692126624</v>
      </c>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row>
    <row r="184" spans="2:74" ht="12.75" x14ac:dyDescent="0.2">
      <c r="B184" s="44" t="str">
        <f>+B118</f>
        <v xml:space="preserve">Documentos por pagar a largo plazo </v>
      </c>
      <c r="C184" s="3"/>
      <c r="D184" s="3">
        <f>-C118+D118</f>
        <v>0</v>
      </c>
      <c r="E184" s="3">
        <f>-D118+E118</f>
        <v>0</v>
      </c>
      <c r="F184" s="3">
        <f>-E118+F118</f>
        <v>0</v>
      </c>
      <c r="G184" s="17"/>
      <c r="H184" s="3">
        <f>-F118+H118</f>
        <v>0</v>
      </c>
      <c r="I184" s="3"/>
      <c r="J184" s="3">
        <f>-H118+J118</f>
        <v>0</v>
      </c>
      <c r="K184" s="3">
        <f>-J118+K118</f>
        <v>0</v>
      </c>
      <c r="L184" s="3">
        <f>-K118+L118</f>
        <v>0</v>
      </c>
      <c r="M184" s="3">
        <f>-L118+M118</f>
        <v>0</v>
      </c>
      <c r="N184" s="3">
        <f>-M118+N118</f>
        <v>0</v>
      </c>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row>
    <row r="185" spans="2:74" ht="12.75" x14ac:dyDescent="0.2">
      <c r="B185" s="44" t="str">
        <f>+B123</f>
        <v>Capital Social</v>
      </c>
      <c r="C185" s="3"/>
      <c r="D185" s="3">
        <f t="shared" ref="D185:F187" si="129">-C123+D123</f>
        <v>0</v>
      </c>
      <c r="E185" s="3">
        <f t="shared" si="129"/>
        <v>0</v>
      </c>
      <c r="F185" s="3">
        <f t="shared" si="129"/>
        <v>0</v>
      </c>
      <c r="G185" s="17"/>
      <c r="H185" s="3">
        <f>-F123+H123</f>
        <v>0</v>
      </c>
      <c r="I185" s="3"/>
      <c r="J185" s="3">
        <f>-H123+J123</f>
        <v>0</v>
      </c>
      <c r="K185" s="3">
        <f t="shared" ref="K185:N187" si="130">-J123+K123</f>
        <v>0</v>
      </c>
      <c r="L185" s="3">
        <f t="shared" si="130"/>
        <v>0</v>
      </c>
      <c r="M185" s="3">
        <f t="shared" si="130"/>
        <v>0</v>
      </c>
      <c r="N185" s="3">
        <f t="shared" si="130"/>
        <v>0</v>
      </c>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row>
    <row r="186" spans="2:74" ht="12.75" x14ac:dyDescent="0.2">
      <c r="B186" s="44" t="str">
        <f>+B124</f>
        <v>Reserva legal</v>
      </c>
      <c r="C186" s="3"/>
      <c r="D186" s="3">
        <f t="shared" si="129"/>
        <v>0</v>
      </c>
      <c r="E186" s="3">
        <f t="shared" si="129"/>
        <v>0</v>
      </c>
      <c r="F186" s="3">
        <f t="shared" si="129"/>
        <v>0</v>
      </c>
      <c r="G186" s="17"/>
      <c r="H186" s="3">
        <f>-F124+H124</f>
        <v>0</v>
      </c>
      <c r="I186" s="3"/>
      <c r="J186" s="3">
        <f>-H124+J124</f>
        <v>0</v>
      </c>
      <c r="K186" s="3">
        <f t="shared" si="130"/>
        <v>0</v>
      </c>
      <c r="L186" s="3">
        <f t="shared" si="130"/>
        <v>0</v>
      </c>
      <c r="M186" s="3">
        <f t="shared" si="130"/>
        <v>0</v>
      </c>
      <c r="N186" s="3">
        <f t="shared" si="130"/>
        <v>0</v>
      </c>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row>
    <row r="187" spans="2:74" ht="12.75" x14ac:dyDescent="0.2">
      <c r="B187" s="44" t="str">
        <f>+B125</f>
        <v>Otras cuentas de capital</v>
      </c>
      <c r="C187" s="3"/>
      <c r="D187" s="3">
        <f t="shared" si="129"/>
        <v>-544424</v>
      </c>
      <c r="E187" s="3">
        <f t="shared" si="129"/>
        <v>65594</v>
      </c>
      <c r="F187" s="3">
        <f t="shared" si="129"/>
        <v>28974</v>
      </c>
      <c r="G187" s="17"/>
      <c r="H187" s="3">
        <f>-F125+H125</f>
        <v>16472208.109999999</v>
      </c>
      <c r="I187" s="3"/>
      <c r="J187" s="3">
        <f>-H125+J125</f>
        <v>0</v>
      </c>
      <c r="K187" s="3">
        <f t="shared" si="130"/>
        <v>0</v>
      </c>
      <c r="L187" s="3">
        <f t="shared" si="130"/>
        <v>0</v>
      </c>
      <c r="M187" s="3">
        <f t="shared" si="130"/>
        <v>0</v>
      </c>
      <c r="N187" s="3">
        <f t="shared" si="130"/>
        <v>0</v>
      </c>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row>
    <row r="188" spans="2:74" ht="12.75" x14ac:dyDescent="0.2">
      <c r="B188" s="44" t="str">
        <f>+B126</f>
        <v>Resultados de Ejercicios Anteriores</v>
      </c>
      <c r="C188" s="4"/>
      <c r="D188" s="4">
        <f>-C126-C127+D126</f>
        <v>-300000.00000000745</v>
      </c>
      <c r="E188" s="4">
        <f>-D126-D127+E126</f>
        <v>-377243.00000000745</v>
      </c>
      <c r="F188" s="4">
        <f>-E126-E127+F126</f>
        <v>-3193632</v>
      </c>
      <c r="G188" s="18"/>
      <c r="H188" s="4">
        <f>-F126-F127+H126</f>
        <v>-16484701.140000008</v>
      </c>
      <c r="I188" s="3"/>
      <c r="J188" s="4">
        <f>-H126-H127+J126</f>
        <v>0</v>
      </c>
      <c r="K188" s="4">
        <f>-J126-J127+K126</f>
        <v>0</v>
      </c>
      <c r="L188" s="4">
        <f>-K126-K127+L126</f>
        <v>0</v>
      </c>
      <c r="M188" s="4">
        <f>-L126-L127+M126</f>
        <v>0</v>
      </c>
      <c r="N188" s="4">
        <f>-M126-M127+N126</f>
        <v>0</v>
      </c>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row>
    <row r="189" spans="2:74" ht="12.75" x14ac:dyDescent="0.2">
      <c r="B189" s="43" t="s">
        <v>70</v>
      </c>
      <c r="C189" s="5"/>
      <c r="D189" s="5">
        <f>+SUM(D183:D188)</f>
        <v>-844424.00000000745</v>
      </c>
      <c r="E189" s="5">
        <f>+SUM(E183:E188)</f>
        <v>165863.99999999255</v>
      </c>
      <c r="F189" s="5">
        <f>+SUM(F183:F188)</f>
        <v>-2496169</v>
      </c>
      <c r="G189" s="19"/>
      <c r="H189" s="5">
        <f>+SUM(H183:H188)</f>
        <v>223423.0199999921</v>
      </c>
      <c r="I189" s="3"/>
      <c r="J189" s="5">
        <f>+SUM(J183:J188)</f>
        <v>-189034.20399999991</v>
      </c>
      <c r="K189" s="5">
        <f>+SUM(K183:K188)</f>
        <v>-634314.8756249994</v>
      </c>
      <c r="L189" s="5">
        <f>+SUM(L183:L188)</f>
        <v>-215488.08133124933</v>
      </c>
      <c r="M189" s="5">
        <f>+SUM(M183:M188)</f>
        <v>-698119.17776906304</v>
      </c>
      <c r="N189" s="5">
        <f>+SUM(N183:N188)</f>
        <v>-234483.04692126624</v>
      </c>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row>
    <row r="190" spans="2:74" ht="3.75" customHeight="1" x14ac:dyDescent="0.2">
      <c r="B190" s="8"/>
      <c r="G190" s="16"/>
    </row>
    <row r="191" spans="2:74" ht="12.75" x14ac:dyDescent="0.2">
      <c r="B191" s="43" t="s">
        <v>71</v>
      </c>
      <c r="C191" s="5"/>
      <c r="D191" s="5">
        <f>+D181+D189</f>
        <v>0</v>
      </c>
      <c r="E191" s="5">
        <f>+E181+E189</f>
        <v>0</v>
      </c>
      <c r="F191" s="5">
        <f>+F181+F189-2</f>
        <v>7.4505805969238281E-9</v>
      </c>
      <c r="G191" s="19"/>
      <c r="H191" s="5">
        <f>+H181+H189</f>
        <v>-4.0000020992010832E-2</v>
      </c>
      <c r="I191" s="3"/>
      <c r="J191" s="5">
        <f>+J181+J189</f>
        <v>680428.15446500375</v>
      </c>
      <c r="K191" s="5">
        <f>+K181+K189</f>
        <v>-494029.23219420062</v>
      </c>
      <c r="L191" s="5">
        <f>+L181+L189</f>
        <v>962621.84351580054</v>
      </c>
      <c r="M191" s="5">
        <f>+M181+M189</f>
        <v>1457750.3927415209</v>
      </c>
      <c r="N191" s="5">
        <f>+N181+N189</f>
        <v>2921061.5355945043</v>
      </c>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row>
    <row r="192" spans="2:74" ht="12.75" x14ac:dyDescent="0.2">
      <c r="B192" s="46" t="s">
        <v>72</v>
      </c>
      <c r="C192" s="5"/>
      <c r="D192" s="5">
        <f t="shared" ref="D192:F192" si="131">+C192+D191</f>
        <v>0</v>
      </c>
      <c r="E192" s="5">
        <f t="shared" si="131"/>
        <v>0</v>
      </c>
      <c r="F192" s="5">
        <f t="shared" si="131"/>
        <v>7.4505805969238281E-9</v>
      </c>
      <c r="G192" s="45"/>
      <c r="H192" s="5">
        <f>(F192+H191)</f>
        <v>-4.0000013541430235E-2</v>
      </c>
      <c r="I192" s="3"/>
      <c r="J192" s="5">
        <f>+H192+J191</f>
        <v>680428.11446499021</v>
      </c>
      <c r="K192" s="5">
        <f>+J192+K191</f>
        <v>186398.88227078959</v>
      </c>
      <c r="L192" s="5">
        <f t="shared" ref="L192:N192" si="132">+K192+L191</f>
        <v>1149020.72578659</v>
      </c>
      <c r="M192" s="5">
        <f t="shared" si="132"/>
        <v>2606771.1185281109</v>
      </c>
      <c r="N192" s="5">
        <f t="shared" si="132"/>
        <v>5527832.6541226152</v>
      </c>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row>
    <row r="193" spans="1:74" ht="12.75"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row>
    <row r="194" spans="1:74" ht="12.75" x14ac:dyDescent="0.2">
      <c r="C194" s="3"/>
      <c r="D194" s="3"/>
      <c r="E194" s="3"/>
      <c r="F194" s="3"/>
      <c r="G194" s="3"/>
      <c r="H194" s="3"/>
      <c r="I194" s="3"/>
      <c r="J194" s="3">
        <f>+J107-J192</f>
        <v>3.3760443329811096E-9</v>
      </c>
      <c r="K194" s="3">
        <f>+K107-K192</f>
        <v>0</v>
      </c>
      <c r="L194" s="3">
        <f>+L107-L192</f>
        <v>-9.3132257461547852E-9</v>
      </c>
      <c r="M194" s="3">
        <f>+M107-M192</f>
        <v>-6.5192580223083496E-9</v>
      </c>
      <c r="N194" s="3">
        <f>+N107-N192</f>
        <v>8.3819031715393066E-9</v>
      </c>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row>
    <row r="195" spans="1:74" ht="12.75"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row>
    <row r="196" spans="1:74" ht="12.75" x14ac:dyDescent="0.2">
      <c r="A196" s="1" t="s">
        <v>132</v>
      </c>
      <c r="C196" s="3"/>
      <c r="D196" s="3"/>
      <c r="E196" s="3"/>
      <c r="F196" s="3"/>
      <c r="G196" s="3"/>
      <c r="H196" s="3"/>
      <c r="I196" s="11"/>
      <c r="J196" s="11">
        <v>2015</v>
      </c>
      <c r="K196" s="11">
        <v>2016</v>
      </c>
      <c r="L196" s="11">
        <v>2017</v>
      </c>
      <c r="M196" s="11">
        <v>2018</v>
      </c>
      <c r="N196" s="11">
        <v>2019</v>
      </c>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row>
    <row r="197" spans="1:74" ht="5.25" customHeight="1" x14ac:dyDescent="0.2">
      <c r="C197" s="3"/>
      <c r="D197" s="3"/>
      <c r="E197" s="3"/>
      <c r="F197" s="3"/>
      <c r="G197" s="3"/>
      <c r="H197" s="3"/>
      <c r="I197" s="3"/>
      <c r="J197" s="11"/>
      <c r="K197" s="11"/>
      <c r="L197" s="11"/>
      <c r="M197" s="11"/>
      <c r="N197" s="11"/>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row>
    <row r="198" spans="1:74" ht="12.75" x14ac:dyDescent="0.2">
      <c r="C198" s="3"/>
      <c r="D198" s="3"/>
      <c r="E198" s="3"/>
      <c r="F198" s="3"/>
      <c r="G198" s="3"/>
      <c r="H198" s="3"/>
      <c r="I198" s="51"/>
      <c r="J198" s="5">
        <f>+J191/1000</f>
        <v>680.42815446500379</v>
      </c>
      <c r="K198" s="5">
        <f t="shared" ref="K198:N198" si="133">+K191/1000</f>
        <v>-494.02923219420063</v>
      </c>
      <c r="L198" s="5">
        <f t="shared" si="133"/>
        <v>962.62184351580049</v>
      </c>
      <c r="M198" s="5">
        <f t="shared" si="133"/>
        <v>1457.750392741521</v>
      </c>
      <c r="N198" s="5">
        <f t="shared" si="133"/>
        <v>2921.0615355945042</v>
      </c>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row>
    <row r="199" spans="1:74" ht="12.75" x14ac:dyDescent="0.2">
      <c r="C199" s="3"/>
      <c r="D199" s="3"/>
      <c r="E199" s="3"/>
      <c r="F199" s="3"/>
      <c r="G199" s="3"/>
      <c r="H199" s="3"/>
      <c r="I199" s="51"/>
      <c r="J199" s="3"/>
      <c r="K199" s="3"/>
      <c r="L199" s="3"/>
      <c r="M199" s="3"/>
      <c r="N199" s="3">
        <f>+N198/$I$201</f>
        <v>19474.630893301266</v>
      </c>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row>
    <row r="200" spans="1:74" ht="12.75" x14ac:dyDescent="0.2">
      <c r="C200" s="3"/>
      <c r="D200" s="3"/>
      <c r="E200" s="3"/>
      <c r="F200" s="3"/>
      <c r="G200" s="3"/>
      <c r="H200" s="3"/>
      <c r="I200" s="51"/>
      <c r="J200" s="5">
        <f>+J198+J199</f>
        <v>680.42815446500379</v>
      </c>
      <c r="K200" s="5">
        <f t="shared" ref="K200:M200" si="134">+K198+K199</f>
        <v>-494.02923219420063</v>
      </c>
      <c r="L200" s="5">
        <f t="shared" si="134"/>
        <v>962.62184351580049</v>
      </c>
      <c r="M200" s="5">
        <f t="shared" si="134"/>
        <v>1457.750392741521</v>
      </c>
      <c r="N200" s="5">
        <f>+N198+N199</f>
        <v>22395.692428895771</v>
      </c>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row>
    <row r="201" spans="1:74" ht="7.5" customHeight="1" x14ac:dyDescent="0.25">
      <c r="C201" s="3"/>
      <c r="D201" s="3"/>
      <c r="E201" s="3"/>
      <c r="F201" s="3"/>
      <c r="G201" s="3"/>
      <c r="H201" s="3"/>
      <c r="I201" s="251">
        <f>+WACC!H14</f>
        <v>0.14999316554950823</v>
      </c>
      <c r="J201" s="52">
        <f>+(1+$I$201)^1</f>
        <v>1.1499931655495081</v>
      </c>
      <c r="K201" s="52">
        <f>+(1+$I$201)^2</f>
        <v>1.3224842808105783</v>
      </c>
      <c r="L201" s="52">
        <f>+(1+$I$201)^3</f>
        <v>1.5208478844788216</v>
      </c>
      <c r="M201" s="52">
        <f>+(1+$I$201)^4</f>
        <v>1.7489646729910726</v>
      </c>
      <c r="N201" s="52">
        <f>+(1+$I$201)^5</f>
        <v>2.011297420727264</v>
      </c>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row>
    <row r="202" spans="1:74" ht="12.75" x14ac:dyDescent="0.2">
      <c r="C202" s="3"/>
      <c r="D202" s="3"/>
      <c r="E202" s="3"/>
      <c r="F202" s="3"/>
      <c r="G202" s="3"/>
      <c r="H202" s="3"/>
      <c r="I202" s="51"/>
      <c r="J202" s="50"/>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row>
    <row r="203" spans="1:74" ht="12.75" x14ac:dyDescent="0.2">
      <c r="C203" s="3"/>
      <c r="D203" s="3"/>
      <c r="E203" s="3"/>
      <c r="F203" s="3"/>
      <c r="G203" s="3"/>
      <c r="H203" s="3"/>
      <c r="I203" s="51"/>
      <c r="J203" s="5">
        <f>+J200/J201</f>
        <v>591.68017241204279</v>
      </c>
      <c r="K203" s="5">
        <f t="shared" ref="K203:N203" si="135">+K200/K201</f>
        <v>-373.56151552243762</v>
      </c>
      <c r="L203" s="5">
        <f t="shared" si="135"/>
        <v>632.95077261831534</v>
      </c>
      <c r="M203" s="5">
        <f t="shared" si="135"/>
        <v>833.49333194276699</v>
      </c>
      <c r="N203" s="5">
        <f t="shared" si="135"/>
        <v>11134.948117617396</v>
      </c>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row>
    <row r="204" spans="1:74" ht="5.25" customHeight="1" x14ac:dyDescent="0.2">
      <c r="C204" s="3"/>
      <c r="D204" s="3"/>
      <c r="E204" s="3"/>
      <c r="F204" s="3"/>
      <c r="G204" s="3"/>
      <c r="H204" s="3"/>
      <c r="I204" s="51"/>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row>
    <row r="205" spans="1:74" ht="12.75" x14ac:dyDescent="0.2">
      <c r="C205" s="3"/>
      <c r="D205" s="3"/>
      <c r="E205" s="3"/>
      <c r="F205" s="3"/>
      <c r="G205" s="3"/>
      <c r="H205" s="3"/>
      <c r="I205" s="51"/>
      <c r="J205" s="132">
        <f>+SUM(J203:N203)</f>
        <v>12819.510879068082</v>
      </c>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row>
    <row r="206" spans="1:74" ht="12.75" x14ac:dyDescent="0.2">
      <c r="C206" s="3"/>
      <c r="D206" s="3"/>
      <c r="E206" s="3"/>
      <c r="F206" s="3"/>
      <c r="G206" s="3"/>
      <c r="H206" s="3"/>
      <c r="I206" s="51"/>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row>
    <row r="207" spans="1:74" ht="12.75" x14ac:dyDescent="0.2">
      <c r="C207" s="3"/>
      <c r="D207" s="3"/>
      <c r="E207" s="3"/>
      <c r="F207" s="3"/>
      <c r="G207" s="3"/>
      <c r="H207" s="3"/>
      <c r="I207" s="51"/>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row>
    <row r="208" spans="1:74" ht="12.75"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row>
    <row r="209" spans="3:74" ht="12.75"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row>
    <row r="210" spans="3:74" ht="12.75"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row>
    <row r="211" spans="3:74" ht="12.75"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row>
    <row r="212" spans="3:74" ht="12.75"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row>
    <row r="213" spans="3:74" ht="12.75"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row>
    <row r="214" spans="3:74" ht="12.75"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row>
  </sheetData>
  <mergeCells count="8">
    <mergeCell ref="C5:H5"/>
    <mergeCell ref="C76:H76"/>
    <mergeCell ref="J5:N5"/>
    <mergeCell ref="J76:N76"/>
    <mergeCell ref="C152:H152"/>
    <mergeCell ref="J152:N152"/>
    <mergeCell ref="C135:H135"/>
    <mergeCell ref="J135:N135"/>
  </mergeCells>
  <pageMargins left="0.7" right="0.7" top="0.75" bottom="0.75" header="0.3" footer="0.3"/>
  <pageSetup orientation="portrait" horizontalDpi="1200" verticalDpi="1200" r:id="rId1"/>
  <ignoredErrors>
    <ignoredError sqref="E141:F142 J83:N84 D141:D142 C141 H141 J99:N99 J103 K103:N104" formula="1"/>
    <ignoredError sqref="G183 D183:F183 H183" formulaRange="1"/>
    <ignoredError sqref="G49 G55 G32:H32 G34:H34 H33 H29:H31" evalError="1"/>
    <ignoredError sqref="G33" evalError="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O143"/>
  <sheetViews>
    <sheetView showGridLines="0" workbookViewId="0">
      <pane xSplit="3" ySplit="6" topLeftCell="D7" activePane="bottomRight" state="frozen"/>
      <selection activeCell="M7" sqref="M7"/>
      <selection pane="topRight" activeCell="M7" sqref="M7"/>
      <selection pane="bottomLeft" activeCell="M7" sqref="M7"/>
      <selection pane="bottomRight" activeCell="D10" sqref="D10"/>
    </sheetView>
  </sheetViews>
  <sheetFormatPr baseColWidth="10" defaultRowHeight="14.25" outlineLevelCol="1" x14ac:dyDescent="0.2"/>
  <cols>
    <col min="1" max="1" width="1.75" customWidth="1"/>
    <col min="2" max="2" width="28.5" bestFit="1" customWidth="1"/>
    <col min="3" max="3" width="9.125" customWidth="1"/>
    <col min="4" max="6" width="9.125" customWidth="1" outlineLevel="1"/>
    <col min="7" max="7" width="9.875" bestFit="1" customWidth="1" outlineLevel="1"/>
    <col min="8" max="8" width="9.875" customWidth="1" outlineLevel="1"/>
    <col min="9" max="9" width="3.75" customWidth="1"/>
    <col min="10" max="13" width="9.875" customWidth="1" outlineLevel="1"/>
    <col min="14" max="14" width="10.5" bestFit="1" customWidth="1"/>
  </cols>
  <sheetData>
    <row r="1" spans="2:15" s="99" customFormat="1" ht="15.75" x14ac:dyDescent="0.25">
      <c r="B1" s="188" t="str">
        <f>+'&gt;&gt;LP Modelo '!B1</f>
        <v>Lubricantes de la Peninsula, SA de CV</v>
      </c>
      <c r="C1" s="188"/>
    </row>
    <row r="2" spans="2:15" s="99" customFormat="1" ht="15.75" x14ac:dyDescent="0.25">
      <c r="B2" s="188" t="str">
        <f>+'&gt;&gt;LP Modelo '!B2</f>
        <v>LP</v>
      </c>
      <c r="C2" s="188"/>
    </row>
    <row r="3" spans="2:15" s="99" customFormat="1" ht="15.75" x14ac:dyDescent="0.25">
      <c r="B3" s="189" t="s">
        <v>210</v>
      </c>
      <c r="C3" s="189"/>
    </row>
    <row r="4" spans="2:15" ht="15.75" x14ac:dyDescent="0.25">
      <c r="B4" s="48"/>
      <c r="C4" s="48"/>
    </row>
    <row r="5" spans="2:15" ht="15.75" x14ac:dyDescent="0.25">
      <c r="B5" s="47"/>
      <c r="C5" s="47"/>
      <c r="D5" s="418" t="s">
        <v>182</v>
      </c>
      <c r="E5" s="418"/>
      <c r="F5" s="418"/>
      <c r="G5" s="418"/>
      <c r="H5" s="418"/>
      <c r="I5" s="56"/>
      <c r="J5" s="418" t="s">
        <v>183</v>
      </c>
      <c r="K5" s="418"/>
      <c r="L5" s="418"/>
      <c r="M5" s="418"/>
      <c r="N5" s="418"/>
    </row>
    <row r="6" spans="2:15" ht="25.5" x14ac:dyDescent="0.2">
      <c r="B6" s="143" t="s">
        <v>107</v>
      </c>
      <c r="C6" s="129" t="s">
        <v>106</v>
      </c>
      <c r="D6" s="130">
        <v>2010</v>
      </c>
      <c r="E6" s="130">
        <v>2011</v>
      </c>
      <c r="F6" s="130">
        <v>2012</v>
      </c>
      <c r="G6" s="130">
        <v>2013</v>
      </c>
      <c r="H6" s="130" t="s">
        <v>235</v>
      </c>
      <c r="I6" s="144"/>
      <c r="J6" s="130">
        <v>2015</v>
      </c>
      <c r="K6" s="130">
        <v>2016</v>
      </c>
      <c r="L6" s="130">
        <v>2017</v>
      </c>
      <c r="M6" s="130">
        <v>2018</v>
      </c>
      <c r="N6" s="129">
        <v>2019</v>
      </c>
    </row>
    <row r="7" spans="2:15" ht="5.0999999999999996" customHeight="1" x14ac:dyDescent="0.2">
      <c r="I7" s="56"/>
    </row>
    <row r="8" spans="2:15" x14ac:dyDescent="0.2">
      <c r="B8" s="35" t="str">
        <f>+'&gt;&gt;LP Modelo '!B88</f>
        <v>Terreno</v>
      </c>
      <c r="C8" s="146">
        <v>0</v>
      </c>
      <c r="D8" s="3">
        <f>+'&gt;&gt;LP Modelo '!C88</f>
        <v>959</v>
      </c>
      <c r="E8" s="3">
        <f>+'&gt;&gt;LP Modelo '!D88</f>
        <v>959</v>
      </c>
      <c r="F8" s="3">
        <f>+'&gt;&gt;LP Modelo '!E88</f>
        <v>959</v>
      </c>
      <c r="G8" s="3">
        <f>+'&gt;&gt;LP Modelo '!F88</f>
        <v>959</v>
      </c>
      <c r="H8" s="3">
        <f>+'&gt;&gt;LP Modelo '!H88</f>
        <v>958.60999999986961</v>
      </c>
      <c r="I8" s="70"/>
      <c r="J8" s="3">
        <f>+IF('&gt;&gt;LP Modelo '!I45=1,0,H8)</f>
        <v>0</v>
      </c>
      <c r="K8" s="3">
        <f>+J8</f>
        <v>0</v>
      </c>
      <c r="L8" s="3">
        <f t="shared" ref="L8:N9" si="0">+K8</f>
        <v>0</v>
      </c>
      <c r="M8" s="3">
        <f t="shared" si="0"/>
        <v>0</v>
      </c>
      <c r="N8" s="3">
        <f t="shared" si="0"/>
        <v>0</v>
      </c>
      <c r="O8" s="55"/>
    </row>
    <row r="9" spans="2:15" ht="15" x14ac:dyDescent="0.25">
      <c r="B9" s="35" t="str">
        <f>+'&gt;&gt;LP Modelo '!B89</f>
        <v>Edificios</v>
      </c>
      <c r="C9" s="54">
        <v>0.05</v>
      </c>
      <c r="D9" s="3">
        <f>+'&gt;&gt;LP Modelo '!C89</f>
        <v>8133</v>
      </c>
      <c r="E9" s="3">
        <f>+'&gt;&gt;LP Modelo '!D89</f>
        <v>8133</v>
      </c>
      <c r="F9" s="3">
        <f>+'&gt;&gt;LP Modelo '!E89</f>
        <v>8133</v>
      </c>
      <c r="G9" s="3">
        <f>+'&gt;&gt;LP Modelo '!F89</f>
        <v>8133</v>
      </c>
      <c r="H9" s="3">
        <f>+'&gt;&gt;LP Modelo '!H89</f>
        <v>8132.6999999992549</v>
      </c>
      <c r="I9" s="70"/>
      <c r="J9" s="3">
        <f>+IF('&gt;&gt;LP Modelo '!I45=1,0,Activos!H9)</f>
        <v>0</v>
      </c>
      <c r="K9" s="3">
        <f>+J9</f>
        <v>0</v>
      </c>
      <c r="L9" s="3">
        <f t="shared" si="0"/>
        <v>0</v>
      </c>
      <c r="M9" s="3">
        <f t="shared" si="0"/>
        <v>0</v>
      </c>
      <c r="N9" s="3">
        <f t="shared" si="0"/>
        <v>0</v>
      </c>
      <c r="O9" s="55"/>
    </row>
    <row r="10" spans="2:15" ht="15" x14ac:dyDescent="0.25">
      <c r="B10" s="35" t="str">
        <f>+'&gt;&gt;LP Modelo '!B90</f>
        <v>Mobiliario y equipo</v>
      </c>
      <c r="C10" s="54">
        <v>0.1</v>
      </c>
      <c r="D10" s="3">
        <f>+'&gt;&gt;LP Modelo '!C90</f>
        <v>2744456</v>
      </c>
      <c r="E10" s="3">
        <f>+'&gt;&gt;LP Modelo '!D90</f>
        <v>2744456</v>
      </c>
      <c r="F10" s="3">
        <f>+'&gt;&gt;LP Modelo '!E90</f>
        <v>2814964</v>
      </c>
      <c r="G10" s="3">
        <f>+'&gt;&gt;LP Modelo '!F90</f>
        <v>2830692</v>
      </c>
      <c r="H10" s="3">
        <f>+'&gt;&gt;LP Modelo '!H90</f>
        <v>2840492.05</v>
      </c>
      <c r="I10" s="70"/>
      <c r="J10" s="84">
        <f>+H10+(H10*$C9)</f>
        <v>2982516.6524999999</v>
      </c>
      <c r="K10" s="84">
        <f>+J10+(J10*$C9)</f>
        <v>3131642.4851249997</v>
      </c>
      <c r="L10" s="84">
        <f t="shared" ref="L10:N10" si="1">+K10+(K10*$C9)</f>
        <v>3288224.6093812496</v>
      </c>
      <c r="M10" s="84">
        <f t="shared" si="1"/>
        <v>3452635.8398503121</v>
      </c>
      <c r="N10" s="84">
        <f t="shared" si="1"/>
        <v>3625267.6318428279</v>
      </c>
      <c r="O10" s="55"/>
    </row>
    <row r="11" spans="2:15" ht="15" x14ac:dyDescent="0.25">
      <c r="B11" s="35" t="str">
        <f>+'&gt;&gt;LP Modelo '!B91</f>
        <v>Equipo de computo</v>
      </c>
      <c r="C11" s="54">
        <v>0.1</v>
      </c>
      <c r="D11" s="3">
        <f>+'&gt;&gt;LP Modelo '!C91</f>
        <v>1079621</v>
      </c>
      <c r="E11" s="3">
        <f>+'&gt;&gt;LP Modelo '!D91</f>
        <v>1079621</v>
      </c>
      <c r="F11" s="3">
        <f>+'&gt;&gt;LP Modelo '!E91</f>
        <v>1122018</v>
      </c>
      <c r="G11" s="3">
        <f>+'&gt;&gt;LP Modelo '!F91</f>
        <v>1122018</v>
      </c>
      <c r="H11" s="3">
        <f>+'&gt;&gt;LP Modelo '!H91</f>
        <v>1122018.23</v>
      </c>
      <c r="I11" s="70"/>
      <c r="J11" s="84">
        <f>+H11+(H11*$C9)</f>
        <v>1178119.1414999999</v>
      </c>
      <c r="K11" s="3">
        <f>+J11</f>
        <v>1178119.1414999999</v>
      </c>
      <c r="L11" s="3">
        <f t="shared" ref="L11:N11" si="2">+K11+(K11*$C9)</f>
        <v>1237025.098575</v>
      </c>
      <c r="M11" s="3">
        <f>+L11</f>
        <v>1237025.098575</v>
      </c>
      <c r="N11" s="3">
        <f t="shared" si="2"/>
        <v>1298876.3535037499</v>
      </c>
      <c r="O11" s="3"/>
    </row>
    <row r="12" spans="2:15" ht="15" x14ac:dyDescent="0.25">
      <c r="B12" s="35" t="str">
        <f>+'&gt;&gt;LP Modelo '!B92</f>
        <v>Equipo de transporte</v>
      </c>
      <c r="C12" s="54">
        <v>0.25</v>
      </c>
      <c r="D12" s="3">
        <f>+'&gt;&gt;LP Modelo '!C92</f>
        <v>4610578</v>
      </c>
      <c r="E12" s="3">
        <f>+'&gt;&gt;LP Modelo '!D92</f>
        <v>4610578</v>
      </c>
      <c r="F12" s="3">
        <f>+'&gt;&gt;LP Modelo '!E92</f>
        <v>4851890</v>
      </c>
      <c r="G12" s="3">
        <f>+'&gt;&gt;LP Modelo '!F92</f>
        <v>4851890</v>
      </c>
      <c r="H12" s="3">
        <f>+'&gt;&gt;LP Modelo '!H92</f>
        <v>4851890.43</v>
      </c>
      <c r="I12" s="70"/>
      <c r="J12" s="84">
        <f>+H12</f>
        <v>4851890.43</v>
      </c>
      <c r="K12" s="84">
        <f>+J12+(J12*$C11)</f>
        <v>5337079.4729999993</v>
      </c>
      <c r="L12" s="84">
        <f>+K12</f>
        <v>5337079.4729999993</v>
      </c>
      <c r="M12" s="84">
        <f t="shared" ref="M12" si="3">+L12+(L12*$C11)</f>
        <v>5870787.4202999994</v>
      </c>
      <c r="N12" s="149">
        <f>+M12</f>
        <v>5870787.4202999994</v>
      </c>
      <c r="O12" s="55"/>
    </row>
    <row r="13" spans="2:15" ht="15" x14ac:dyDescent="0.25">
      <c r="B13" s="318" t="s">
        <v>107</v>
      </c>
      <c r="C13" s="54"/>
      <c r="D13" s="5">
        <f>+SUM(D8:D12)</f>
        <v>8443747</v>
      </c>
      <c r="E13" s="5">
        <f>+SUM(E8:E12)</f>
        <v>8443747</v>
      </c>
      <c r="F13" s="5">
        <f>+SUM(F8:F12)</f>
        <v>8797964</v>
      </c>
      <c r="G13" s="5">
        <f>+SUM(G8:G12)</f>
        <v>8813692</v>
      </c>
      <c r="H13" s="5">
        <f>+SUM(H8:H12)</f>
        <v>8823492.0199999996</v>
      </c>
      <c r="I13" s="70"/>
      <c r="J13" s="5">
        <f>+SUM(J8:J12)</f>
        <v>9012526.2239999995</v>
      </c>
      <c r="K13" s="5">
        <f>+SUM(K8:K12)</f>
        <v>9646841.0996249989</v>
      </c>
      <c r="L13" s="5">
        <f>+SUM(L8:L12)</f>
        <v>9862329.1809562482</v>
      </c>
      <c r="M13" s="5">
        <f>+SUM(M8:M12)</f>
        <v>10560448.358725311</v>
      </c>
      <c r="N13" s="5">
        <f>+SUM(N8:N12)</f>
        <v>10794931.405646577</v>
      </c>
      <c r="O13" s="55"/>
    </row>
    <row r="14" spans="2:15" ht="5.0999999999999996" customHeight="1" x14ac:dyDescent="0.2">
      <c r="I14" s="56"/>
    </row>
    <row r="15" spans="2:15" ht="15" x14ac:dyDescent="0.25">
      <c r="B15" s="35" t="str">
        <f>+B8</f>
        <v>Terreno</v>
      </c>
      <c r="C15" s="54"/>
      <c r="D15" s="41"/>
      <c r="E15" s="41"/>
      <c r="F15" s="41"/>
      <c r="G15" s="41"/>
      <c r="H15" s="5">
        <v>0</v>
      </c>
      <c r="I15" s="70"/>
      <c r="J15" s="3">
        <f>+H15-J43</f>
        <v>0</v>
      </c>
      <c r="K15" s="3">
        <f t="shared" ref="K15:K20" si="4">+J15-K43</f>
        <v>0</v>
      </c>
      <c r="L15" s="3">
        <f t="shared" ref="L15:N15" si="5">+K15-L43</f>
        <v>0</v>
      </c>
      <c r="M15" s="3">
        <f t="shared" si="5"/>
        <v>0</v>
      </c>
      <c r="N15" s="3">
        <f t="shared" si="5"/>
        <v>0</v>
      </c>
      <c r="O15" s="55"/>
    </row>
    <row r="16" spans="2:15" ht="15" x14ac:dyDescent="0.25">
      <c r="B16" s="35" t="str">
        <f t="shared" ref="B16:B19" si="6">+B9</f>
        <v>Edificios</v>
      </c>
      <c r="C16" s="54"/>
      <c r="D16" s="41"/>
      <c r="E16" s="41"/>
      <c r="F16" s="41"/>
      <c r="G16" s="41"/>
      <c r="H16" s="3">
        <f>+'&gt;&gt; PL Fuente EEFF sep 14'!E22</f>
        <v>-8132.74</v>
      </c>
      <c r="I16" s="70"/>
      <c r="J16" s="3">
        <f>IF('&gt;&gt;LP Modelo '!I45=1,0,H16-J44)</f>
        <v>0</v>
      </c>
      <c r="K16" s="3">
        <f t="shared" si="4"/>
        <v>0</v>
      </c>
      <c r="L16" s="3">
        <f t="shared" ref="L16:N16" si="7">+K16-L44</f>
        <v>0</v>
      </c>
      <c r="M16" s="3">
        <f t="shared" si="7"/>
        <v>0</v>
      </c>
      <c r="N16" s="3">
        <f t="shared" si="7"/>
        <v>0</v>
      </c>
      <c r="O16" s="55"/>
    </row>
    <row r="17" spans="2:15" ht="15" x14ac:dyDescent="0.25">
      <c r="B17" s="35" t="str">
        <f t="shared" si="6"/>
        <v>Mobiliario y equipo</v>
      </c>
      <c r="C17" s="54"/>
      <c r="D17" s="41"/>
      <c r="E17" s="41"/>
      <c r="F17" s="41"/>
      <c r="G17" s="41"/>
      <c r="H17" s="3">
        <f>+'&gt;&gt; PL Fuente EEFF sep 14'!E24</f>
        <v>-2353815.37</v>
      </c>
      <c r="I17" s="70"/>
      <c r="J17" s="3">
        <f>+H17-J45</f>
        <v>-2416685.4982500002</v>
      </c>
      <c r="K17" s="3">
        <f t="shared" si="4"/>
        <v>-2488181.1969375</v>
      </c>
      <c r="L17" s="3">
        <f t="shared" ref="L17:N17" si="8">+K17-L45</f>
        <v>-2568185.5381818749</v>
      </c>
      <c r="M17" s="3">
        <f t="shared" si="8"/>
        <v>-2656630.5683487188</v>
      </c>
      <c r="N17" s="3">
        <f t="shared" si="8"/>
        <v>-2753494.2746981299</v>
      </c>
      <c r="O17" s="55"/>
    </row>
    <row r="18" spans="2:15" ht="15" x14ac:dyDescent="0.25">
      <c r="B18" s="35" t="str">
        <f t="shared" si="6"/>
        <v>Equipo de computo</v>
      </c>
      <c r="C18" s="54"/>
      <c r="D18" s="41"/>
      <c r="E18" s="41"/>
      <c r="F18" s="41"/>
      <c r="G18" s="41"/>
      <c r="H18" s="3">
        <f>+'&gt;&gt; PL Fuente EEFF sep 14'!E26</f>
        <v>-1107588.55</v>
      </c>
      <c r="I18" s="70"/>
      <c r="J18" s="3">
        <f>+H18-J46</f>
        <v>-1114641.6091499999</v>
      </c>
      <c r="K18" s="3">
        <f t="shared" si="4"/>
        <v>-1120989.3623849999</v>
      </c>
      <c r="L18" s="3">
        <f t="shared" ref="L18:N18" si="9">+K18-L46</f>
        <v>-1132592.9360039998</v>
      </c>
      <c r="M18" s="3">
        <f t="shared" si="9"/>
        <v>-1143036.1522610998</v>
      </c>
      <c r="N18" s="3">
        <f t="shared" si="9"/>
        <v>-1158620.1723853648</v>
      </c>
      <c r="O18" s="55"/>
    </row>
    <row r="19" spans="2:15" ht="15" x14ac:dyDescent="0.25">
      <c r="B19" s="35" t="str">
        <f t="shared" si="6"/>
        <v>Equipo de transporte</v>
      </c>
      <c r="C19" s="54"/>
      <c r="D19" s="41"/>
      <c r="E19" s="41"/>
      <c r="F19" s="41"/>
      <c r="G19" s="41"/>
      <c r="H19" s="3">
        <f>+'&gt;&gt; PL Fuente EEFF sep 14'!E28</f>
        <v>-4644887.41</v>
      </c>
      <c r="I19" s="70"/>
      <c r="J19" s="3">
        <f>+H19-J47</f>
        <v>-4696638.165</v>
      </c>
      <c r="K19" s="3">
        <f t="shared" si="4"/>
        <v>-4856748.4919999996</v>
      </c>
      <c r="L19" s="3">
        <f t="shared" ref="L19:N19" si="10">+K19-L47</f>
        <v>-4976831.2372499993</v>
      </c>
      <c r="M19" s="3">
        <f t="shared" si="10"/>
        <v>-5200320.2830124991</v>
      </c>
      <c r="N19" s="3">
        <f t="shared" si="10"/>
        <v>-5367937.0673343744</v>
      </c>
      <c r="O19" s="55"/>
    </row>
    <row r="20" spans="2:15" ht="15" x14ac:dyDescent="0.25">
      <c r="B20" s="319" t="s">
        <v>32</v>
      </c>
      <c r="C20" s="54"/>
      <c r="D20" s="5">
        <f>+'&gt;&gt;LP Modelo '!C93</f>
        <v>-6352761</v>
      </c>
      <c r="E20" s="5">
        <f>+'&gt;&gt;LP Modelo '!D93</f>
        <v>-6352761</v>
      </c>
      <c r="F20" s="5">
        <f>+'&gt;&gt;LP Modelo '!E93</f>
        <v>-7184491</v>
      </c>
      <c r="G20" s="5">
        <f>+'&gt;&gt;LP Modelo '!F93</f>
        <v>-7868708</v>
      </c>
      <c r="H20" s="5">
        <f>+SUM(H16:H19)</f>
        <v>-8114424.0700000003</v>
      </c>
      <c r="I20" s="70"/>
      <c r="J20" s="5">
        <f>+H20-J48</f>
        <v>-8236098.0124000004</v>
      </c>
      <c r="K20" s="5">
        <f t="shared" si="4"/>
        <v>-8474051.7913224995</v>
      </c>
      <c r="L20" s="5">
        <f>+K20-L48</f>
        <v>-8685742.4514358751</v>
      </c>
      <c r="M20" s="5">
        <f>+L20-M48</f>
        <v>-9008119.7436223198</v>
      </c>
      <c r="N20" s="5">
        <f>+M20-N48</f>
        <v>-9288184.2544178702</v>
      </c>
    </row>
    <row r="21" spans="2:15" ht="5.0999999999999996" customHeight="1" x14ac:dyDescent="0.2">
      <c r="I21" s="56"/>
    </row>
    <row r="22" spans="2:15" ht="15" x14ac:dyDescent="0.25">
      <c r="B22" s="35" t="str">
        <f>+B8</f>
        <v>Terreno</v>
      </c>
      <c r="C22" s="54"/>
      <c r="D22" s="41"/>
      <c r="E22" s="41"/>
      <c r="F22" s="41"/>
      <c r="G22" s="41"/>
      <c r="H22" s="3">
        <f>+H8+H15</f>
        <v>958.60999999986961</v>
      </c>
      <c r="I22" s="70"/>
      <c r="J22" s="3">
        <f>+J8-J15</f>
        <v>0</v>
      </c>
      <c r="K22" s="3">
        <f t="shared" ref="K22:N22" si="11">+K8-K15</f>
        <v>0</v>
      </c>
      <c r="L22" s="3">
        <f t="shared" si="11"/>
        <v>0</v>
      </c>
      <c r="M22" s="3">
        <f t="shared" si="11"/>
        <v>0</v>
      </c>
      <c r="N22" s="3">
        <f t="shared" si="11"/>
        <v>0</v>
      </c>
    </row>
    <row r="23" spans="2:15" ht="15" x14ac:dyDescent="0.25">
      <c r="B23" s="35" t="str">
        <f t="shared" ref="B23:B26" si="12">+B9</f>
        <v>Edificios</v>
      </c>
      <c r="C23" s="54"/>
      <c r="D23" s="41"/>
      <c r="E23" s="41"/>
      <c r="F23" s="41"/>
      <c r="G23" s="41"/>
      <c r="H23" s="3">
        <f>+H9+H16</f>
        <v>-4.0000000744839781E-2</v>
      </c>
      <c r="I23" s="70"/>
      <c r="J23" s="3">
        <f t="shared" ref="J23:N23" si="13">+J9-J16</f>
        <v>0</v>
      </c>
      <c r="K23" s="3"/>
      <c r="L23" s="3">
        <f t="shared" si="13"/>
        <v>0</v>
      </c>
      <c r="M23" s="3">
        <f t="shared" si="13"/>
        <v>0</v>
      </c>
      <c r="N23" s="3">
        <f t="shared" si="13"/>
        <v>0</v>
      </c>
    </row>
    <row r="24" spans="2:15" ht="15" x14ac:dyDescent="0.25">
      <c r="B24" s="35" t="str">
        <f t="shared" si="12"/>
        <v>Mobiliario y equipo</v>
      </c>
      <c r="C24" s="54"/>
      <c r="D24" s="41"/>
      <c r="E24" s="41"/>
      <c r="F24" s="41"/>
      <c r="G24" s="41"/>
      <c r="H24" s="3">
        <f>+H10+H17</f>
        <v>486676.6799999997</v>
      </c>
      <c r="I24" s="70"/>
      <c r="J24" s="3">
        <f t="shared" ref="J24:N24" si="14">+J10-J17</f>
        <v>5399202.15075</v>
      </c>
      <c r="K24" s="3">
        <f t="shared" si="14"/>
        <v>5619823.6820624992</v>
      </c>
      <c r="L24" s="3">
        <f t="shared" si="14"/>
        <v>5856410.1475631241</v>
      </c>
      <c r="M24" s="3">
        <f t="shared" si="14"/>
        <v>6109266.4081990309</v>
      </c>
      <c r="N24" s="3">
        <f t="shared" si="14"/>
        <v>6378761.9065409582</v>
      </c>
    </row>
    <row r="25" spans="2:15" ht="15" x14ac:dyDescent="0.25">
      <c r="B25" s="35" t="str">
        <f t="shared" si="12"/>
        <v>Equipo de computo</v>
      </c>
      <c r="C25" s="54"/>
      <c r="D25" s="41"/>
      <c r="E25" s="41"/>
      <c r="F25" s="41"/>
      <c r="G25" s="41"/>
      <c r="H25" s="3">
        <f>+H11+H18</f>
        <v>14429.679999999935</v>
      </c>
      <c r="I25" s="70"/>
      <c r="J25" s="3">
        <f t="shared" ref="J25:N25" si="15">+J11-J18</f>
        <v>2292760.7506499998</v>
      </c>
      <c r="K25" s="3">
        <f t="shared" si="15"/>
        <v>2299108.503885</v>
      </c>
      <c r="L25" s="3">
        <f t="shared" si="15"/>
        <v>2369618.0345789995</v>
      </c>
      <c r="M25" s="3">
        <f t="shared" si="15"/>
        <v>2380061.2508360995</v>
      </c>
      <c r="N25" s="3">
        <f t="shared" si="15"/>
        <v>2457496.5258891145</v>
      </c>
    </row>
    <row r="26" spans="2:15" ht="15" x14ac:dyDescent="0.25">
      <c r="B26" s="35" t="str">
        <f t="shared" si="12"/>
        <v>Equipo de transporte</v>
      </c>
      <c r="C26" s="54"/>
      <c r="D26" s="41"/>
      <c r="E26" s="41"/>
      <c r="F26" s="41"/>
      <c r="G26" s="41"/>
      <c r="H26" s="3">
        <f>+H12+H19</f>
        <v>207003.01999999955</v>
      </c>
      <c r="I26" s="70"/>
      <c r="J26" s="3">
        <f t="shared" ref="J26:N26" si="16">+J12-J19</f>
        <v>9548528.5949999988</v>
      </c>
      <c r="K26" s="3">
        <f t="shared" si="16"/>
        <v>10193827.965</v>
      </c>
      <c r="L26" s="3">
        <f t="shared" si="16"/>
        <v>10313910.710249998</v>
      </c>
      <c r="M26" s="3">
        <f t="shared" si="16"/>
        <v>11071107.703312498</v>
      </c>
      <c r="N26" s="3">
        <f t="shared" si="16"/>
        <v>11238724.487634374</v>
      </c>
    </row>
    <row r="27" spans="2:15" x14ac:dyDescent="0.2">
      <c r="B27" s="318" t="s">
        <v>105</v>
      </c>
      <c r="C27" s="53"/>
      <c r="D27" s="5">
        <f>+D13+D20</f>
        <v>2090986</v>
      </c>
      <c r="E27" s="5">
        <f>+E13+E20</f>
        <v>2090986</v>
      </c>
      <c r="F27" s="5">
        <f>+F13+F20</f>
        <v>1613473</v>
      </c>
      <c r="G27" s="5">
        <f>+G13+G20</f>
        <v>944984</v>
      </c>
      <c r="H27" s="5">
        <f>+SUM(H22:H26)</f>
        <v>709067.94999999832</v>
      </c>
      <c r="I27" s="71"/>
      <c r="J27" s="5">
        <f t="shared" ref="J27" si="17">+J13+J20</f>
        <v>776428.21159999911</v>
      </c>
      <c r="K27" s="5">
        <f t="shared" ref="K27" si="18">+K13+K20</f>
        <v>1172789.3083024994</v>
      </c>
      <c r="L27" s="5">
        <f t="shared" ref="L27" si="19">+L13+L20</f>
        <v>1176586.729520373</v>
      </c>
      <c r="M27" s="5">
        <f t="shared" ref="M27" si="20">+M13+M20</f>
        <v>1552328.6151029915</v>
      </c>
      <c r="N27" s="5">
        <f t="shared" ref="N27" si="21">+N13+N20</f>
        <v>1506747.1512287073</v>
      </c>
    </row>
    <row r="28" spans="2:15" x14ac:dyDescent="0.2">
      <c r="D28" s="3"/>
      <c r="E28" s="3"/>
      <c r="F28" s="3"/>
      <c r="G28" s="3"/>
      <c r="H28" s="3"/>
      <c r="I28" s="70"/>
      <c r="J28" s="3"/>
      <c r="K28" s="3"/>
      <c r="L28" s="3"/>
      <c r="M28" s="3"/>
      <c r="N28" s="3"/>
    </row>
    <row r="29" spans="2:15" x14ac:dyDescent="0.2">
      <c r="D29" s="3"/>
      <c r="E29" s="3"/>
      <c r="F29" s="3"/>
      <c r="G29" s="3"/>
      <c r="H29" s="3"/>
      <c r="I29" s="70"/>
      <c r="J29" s="3"/>
      <c r="K29" s="3"/>
      <c r="L29" s="3"/>
      <c r="M29" s="3"/>
      <c r="N29" s="3"/>
    </row>
    <row r="30" spans="2:15" x14ac:dyDescent="0.2">
      <c r="D30" s="418" t="str">
        <f>+D5</f>
        <v xml:space="preserve">HISTORICOS </v>
      </c>
      <c r="E30" s="418"/>
      <c r="F30" s="418"/>
      <c r="G30" s="418"/>
      <c r="H30" s="418"/>
      <c r="I30" s="56"/>
      <c r="J30" s="418" t="s">
        <v>183</v>
      </c>
      <c r="K30" s="418"/>
      <c r="L30" s="418"/>
      <c r="M30" s="418"/>
      <c r="N30" s="418"/>
    </row>
    <row r="31" spans="2:15" ht="25.5" x14ac:dyDescent="0.2">
      <c r="B31" s="142" t="s">
        <v>69</v>
      </c>
      <c r="C31" s="129" t="s">
        <v>106</v>
      </c>
      <c r="D31" s="130">
        <f>+D6</f>
        <v>2010</v>
      </c>
      <c r="E31" s="130">
        <f>+E6</f>
        <v>2011</v>
      </c>
      <c r="F31" s="130">
        <f t="shared" ref="F31:H31" si="22">+F6</f>
        <v>2012</v>
      </c>
      <c r="G31" s="130">
        <f t="shared" si="22"/>
        <v>2013</v>
      </c>
      <c r="H31" s="130" t="str">
        <f t="shared" si="22"/>
        <v>2014
SEP</v>
      </c>
      <c r="I31" s="145"/>
      <c r="J31" s="130">
        <f>+J6</f>
        <v>2015</v>
      </c>
      <c r="K31" s="130">
        <f>+K6</f>
        <v>2016</v>
      </c>
      <c r="L31" s="130">
        <f>+L6</f>
        <v>2017</v>
      </c>
      <c r="M31" s="130">
        <f>+M6</f>
        <v>2018</v>
      </c>
      <c r="N31" s="130">
        <f>+N6</f>
        <v>2019</v>
      </c>
    </row>
    <row r="32" spans="2:15" x14ac:dyDescent="0.2">
      <c r="I32" s="56"/>
    </row>
    <row r="33" spans="2:14" x14ac:dyDescent="0.2">
      <c r="B33" s="35" t="str">
        <f>+B8</f>
        <v>Terreno</v>
      </c>
      <c r="C33" s="146">
        <v>0</v>
      </c>
      <c r="D33" s="39"/>
      <c r="E33" s="70">
        <f t="shared" ref="E33:H37" si="23">+E8-D8</f>
        <v>0</v>
      </c>
      <c r="F33" s="70">
        <f t="shared" si="23"/>
        <v>0</v>
      </c>
      <c r="G33" s="70">
        <f t="shared" si="23"/>
        <v>0</v>
      </c>
      <c r="H33" s="70">
        <f t="shared" si="23"/>
        <v>-0.39000000013038516</v>
      </c>
      <c r="I33" s="70"/>
      <c r="J33" s="70">
        <f>MAX(J8-H8,0)</f>
        <v>0</v>
      </c>
      <c r="K33" s="70">
        <f t="shared" ref="K33:N37" si="24">+K8-J8</f>
        <v>0</v>
      </c>
      <c r="L33" s="70">
        <f t="shared" si="24"/>
        <v>0</v>
      </c>
      <c r="M33" s="70">
        <f t="shared" si="24"/>
        <v>0</v>
      </c>
      <c r="N33" s="70">
        <f t="shared" si="24"/>
        <v>0</v>
      </c>
    </row>
    <row r="34" spans="2:14" ht="15" x14ac:dyDescent="0.25">
      <c r="B34" s="35" t="str">
        <f t="shared" ref="B34:B37" si="25">+B9</f>
        <v>Edificios</v>
      </c>
      <c r="C34" s="54">
        <v>0.05</v>
      </c>
      <c r="D34" s="39"/>
      <c r="E34" s="70">
        <f t="shared" si="23"/>
        <v>0</v>
      </c>
      <c r="F34" s="70">
        <f t="shared" si="23"/>
        <v>0</v>
      </c>
      <c r="G34" s="70">
        <f t="shared" si="23"/>
        <v>0</v>
      </c>
      <c r="H34" s="70">
        <f t="shared" si="23"/>
        <v>-0.30000000074505806</v>
      </c>
      <c r="I34" s="70"/>
      <c r="J34" s="70">
        <f>MAX(J9-H9,0)</f>
        <v>0</v>
      </c>
      <c r="K34" s="70">
        <f t="shared" si="24"/>
        <v>0</v>
      </c>
      <c r="L34" s="70">
        <f t="shared" si="24"/>
        <v>0</v>
      </c>
      <c r="M34" s="70">
        <f t="shared" si="24"/>
        <v>0</v>
      </c>
      <c r="N34" s="70">
        <f t="shared" si="24"/>
        <v>0</v>
      </c>
    </row>
    <row r="35" spans="2:14" ht="15" x14ac:dyDescent="0.25">
      <c r="B35" s="35" t="str">
        <f t="shared" si="25"/>
        <v>Mobiliario y equipo</v>
      </c>
      <c r="C35" s="54">
        <v>0.25</v>
      </c>
      <c r="D35" s="39"/>
      <c r="E35" s="70">
        <f t="shared" si="23"/>
        <v>0</v>
      </c>
      <c r="F35" s="70">
        <f t="shared" si="23"/>
        <v>70508</v>
      </c>
      <c r="G35" s="70">
        <f t="shared" si="23"/>
        <v>15728</v>
      </c>
      <c r="H35" s="70">
        <f t="shared" si="23"/>
        <v>9800.0499999998137</v>
      </c>
      <c r="I35" s="70"/>
      <c r="J35" s="70">
        <f>+J10-H10</f>
        <v>142024.60250000004</v>
      </c>
      <c r="K35" s="70">
        <f t="shared" si="24"/>
        <v>149125.83262499981</v>
      </c>
      <c r="L35" s="70">
        <f t="shared" si="24"/>
        <v>156582.12425624998</v>
      </c>
      <c r="M35" s="70">
        <f t="shared" si="24"/>
        <v>164411.23046906246</v>
      </c>
      <c r="N35" s="70">
        <f t="shared" si="24"/>
        <v>172631.79199251579</v>
      </c>
    </row>
    <row r="36" spans="2:14" ht="15" x14ac:dyDescent="0.25">
      <c r="B36" s="35" t="str">
        <f t="shared" si="25"/>
        <v>Equipo de computo</v>
      </c>
      <c r="C36" s="54">
        <v>0.1</v>
      </c>
      <c r="D36" s="39"/>
      <c r="E36" s="70">
        <f t="shared" si="23"/>
        <v>0</v>
      </c>
      <c r="F36" s="70">
        <f t="shared" si="23"/>
        <v>42397</v>
      </c>
      <c r="G36" s="70">
        <f t="shared" si="23"/>
        <v>0</v>
      </c>
      <c r="H36" s="70">
        <f t="shared" si="23"/>
        <v>0.22999999998137355</v>
      </c>
      <c r="I36" s="70"/>
      <c r="J36" s="70">
        <f>+J11-H11</f>
        <v>56100.911499999929</v>
      </c>
      <c r="K36" s="70">
        <f t="shared" si="24"/>
        <v>0</v>
      </c>
      <c r="L36" s="70">
        <f t="shared" si="24"/>
        <v>58905.957075000042</v>
      </c>
      <c r="M36" s="70">
        <f t="shared" si="24"/>
        <v>0</v>
      </c>
      <c r="N36" s="70">
        <f t="shared" si="24"/>
        <v>61851.254928749986</v>
      </c>
    </row>
    <row r="37" spans="2:14" ht="15" x14ac:dyDescent="0.25">
      <c r="B37" s="35" t="str">
        <f t="shared" si="25"/>
        <v>Equipo de transporte</v>
      </c>
      <c r="C37" s="54">
        <v>0.1</v>
      </c>
      <c r="D37" s="39"/>
      <c r="E37" s="70">
        <f t="shared" si="23"/>
        <v>0</v>
      </c>
      <c r="F37" s="70">
        <f t="shared" si="23"/>
        <v>241312</v>
      </c>
      <c r="G37" s="70">
        <f t="shared" si="23"/>
        <v>0</v>
      </c>
      <c r="H37" s="70">
        <f t="shared" si="23"/>
        <v>0.42999999970197678</v>
      </c>
      <c r="I37" s="70"/>
      <c r="J37" s="70">
        <f>+J12-H12</f>
        <v>0</v>
      </c>
      <c r="K37" s="70">
        <f t="shared" si="24"/>
        <v>485189.0429999996</v>
      </c>
      <c r="L37" s="70">
        <f t="shared" si="24"/>
        <v>0</v>
      </c>
      <c r="M37" s="70">
        <f t="shared" si="24"/>
        <v>533707.94730000012</v>
      </c>
      <c r="N37" s="70">
        <f t="shared" si="24"/>
        <v>0</v>
      </c>
    </row>
    <row r="38" spans="2:14" x14ac:dyDescent="0.2">
      <c r="B38" s="148" t="s">
        <v>102</v>
      </c>
      <c r="C38" s="53"/>
      <c r="D38" s="71">
        <f>SUM(D33:D37)</f>
        <v>0</v>
      </c>
      <c r="E38" s="71">
        <f>SUM(E33:E37)</f>
        <v>0</v>
      </c>
      <c r="F38" s="71">
        <f>SUM(F33:F37)</f>
        <v>354217</v>
      </c>
      <c r="G38" s="71">
        <f>SUM(G33:G37)</f>
        <v>15728</v>
      </c>
      <c r="H38" s="71">
        <f>SUM(H33:H37)</f>
        <v>9800.0199999986216</v>
      </c>
      <c r="I38" s="71"/>
      <c r="J38" s="71">
        <f>+SUM(J33:J37)</f>
        <v>198125.51399999997</v>
      </c>
      <c r="K38" s="71">
        <f>+SUM(K33:K37)</f>
        <v>634314.8756249994</v>
      </c>
      <c r="L38" s="71">
        <f>+SUM(L33:L37)</f>
        <v>215488.08133125002</v>
      </c>
      <c r="M38" s="71">
        <f>+SUM(M33:M37)</f>
        <v>698119.17776906257</v>
      </c>
      <c r="N38" s="71">
        <f>+SUM(N33:N37)</f>
        <v>234483.04692126578</v>
      </c>
    </row>
    <row r="39" spans="2:14" x14ac:dyDescent="0.2">
      <c r="D39" s="3"/>
      <c r="E39" s="3"/>
      <c r="F39" s="3"/>
      <c r="G39" s="3"/>
      <c r="H39" s="3"/>
      <c r="I39" s="70"/>
      <c r="J39" s="3"/>
      <c r="K39" s="3"/>
      <c r="L39" s="3"/>
      <c r="M39" s="3"/>
      <c r="N39" s="3"/>
    </row>
    <row r="40" spans="2:14" x14ac:dyDescent="0.2">
      <c r="D40" s="418" t="str">
        <f>+D5</f>
        <v xml:space="preserve">HISTORICOS </v>
      </c>
      <c r="E40" s="418"/>
      <c r="F40" s="418"/>
      <c r="G40" s="418"/>
      <c r="H40" s="418"/>
      <c r="I40" s="56"/>
      <c r="J40" s="418" t="s">
        <v>183</v>
      </c>
      <c r="K40" s="418"/>
      <c r="L40" s="418"/>
      <c r="M40" s="418"/>
      <c r="N40" s="418"/>
    </row>
    <row r="41" spans="2:14" ht="25.5" x14ac:dyDescent="0.2">
      <c r="B41" s="143" t="s">
        <v>65</v>
      </c>
      <c r="C41" s="129" t="s">
        <v>106</v>
      </c>
      <c r="D41" s="130">
        <f>+D6</f>
        <v>2010</v>
      </c>
      <c r="E41" s="130">
        <f t="shared" ref="E41:H41" si="26">+E6</f>
        <v>2011</v>
      </c>
      <c r="F41" s="130">
        <f t="shared" si="26"/>
        <v>2012</v>
      </c>
      <c r="G41" s="130">
        <f t="shared" si="26"/>
        <v>2013</v>
      </c>
      <c r="H41" s="130" t="str">
        <f t="shared" si="26"/>
        <v>2014
SEP</v>
      </c>
      <c r="I41" s="145"/>
      <c r="J41" s="130">
        <f>+J6</f>
        <v>2015</v>
      </c>
      <c r="K41" s="130">
        <f>+K6</f>
        <v>2016</v>
      </c>
      <c r="L41" s="130">
        <f>+L6</f>
        <v>2017</v>
      </c>
      <c r="M41" s="130">
        <f>+M6</f>
        <v>2018</v>
      </c>
      <c r="N41" s="130">
        <f>+N6</f>
        <v>2019</v>
      </c>
    </row>
    <row r="42" spans="2:14" x14ac:dyDescent="0.2">
      <c r="I42" s="56"/>
    </row>
    <row r="43" spans="2:14" x14ac:dyDescent="0.2">
      <c r="B43" s="147" t="str">
        <f>+B8</f>
        <v>Terreno</v>
      </c>
      <c r="C43" s="146">
        <v>0</v>
      </c>
      <c r="D43" s="39"/>
      <c r="E43" s="39"/>
      <c r="F43" s="39"/>
      <c r="G43" s="39"/>
      <c r="H43" s="39"/>
      <c r="I43" s="70"/>
      <c r="J43" s="39"/>
      <c r="K43" s="39"/>
      <c r="L43" s="39"/>
      <c r="M43" s="39"/>
      <c r="N43" s="39"/>
    </row>
    <row r="44" spans="2:14" ht="15" x14ac:dyDescent="0.25">
      <c r="B44" s="147" t="str">
        <f>+B9</f>
        <v>Edificios</v>
      </c>
      <c r="C44" s="54">
        <v>0.05</v>
      </c>
      <c r="D44" s="39"/>
      <c r="E44" s="39"/>
      <c r="F44" s="39"/>
      <c r="G44" s="39"/>
      <c r="H44" s="39"/>
      <c r="I44" s="70"/>
      <c r="J44" s="70">
        <f>MAX((H9+H16+J34)*$C9,0)</f>
        <v>0</v>
      </c>
      <c r="K44" s="70">
        <f>MAX((J9+J16+K34)*$C9,0)</f>
        <v>0</v>
      </c>
      <c r="L44" s="70">
        <f t="shared" ref="L44:N44" si="27">MAX((K9+K16+L34)*$C9,0)</f>
        <v>0</v>
      </c>
      <c r="M44" s="70">
        <f t="shared" si="27"/>
        <v>0</v>
      </c>
      <c r="N44" s="70">
        <f t="shared" si="27"/>
        <v>0</v>
      </c>
    </row>
    <row r="45" spans="2:14" ht="15" x14ac:dyDescent="0.25">
      <c r="B45" s="147" t="str">
        <f>+B10</f>
        <v>Mobiliario y equipo</v>
      </c>
      <c r="C45" s="54">
        <v>0.25</v>
      </c>
      <c r="D45" s="39"/>
      <c r="E45" s="39"/>
      <c r="F45" s="39"/>
      <c r="G45" s="39"/>
      <c r="H45" s="39"/>
      <c r="I45" s="70"/>
      <c r="J45" s="70">
        <f t="shared" ref="J45:J47" si="28">MAX((H10+H17+J35)*$C10,0)</f>
        <v>62870.12824999998</v>
      </c>
      <c r="K45" s="70">
        <f t="shared" ref="K45:N45" si="29">MAX((J10+J17+K35)*$C10,0)</f>
        <v>71495.698687499957</v>
      </c>
      <c r="L45" s="70">
        <f t="shared" si="29"/>
        <v>80004.341244374969</v>
      </c>
      <c r="M45" s="70">
        <f t="shared" si="29"/>
        <v>88445.030166843731</v>
      </c>
      <c r="N45" s="70">
        <f t="shared" si="29"/>
        <v>96863.706349410917</v>
      </c>
    </row>
    <row r="46" spans="2:14" ht="15" x14ac:dyDescent="0.25">
      <c r="B46" s="147" t="str">
        <f>+B11</f>
        <v>Equipo de computo</v>
      </c>
      <c r="C46" s="54">
        <v>0.1</v>
      </c>
      <c r="D46" s="39"/>
      <c r="E46" s="39"/>
      <c r="F46" s="39"/>
      <c r="G46" s="39"/>
      <c r="H46" s="39"/>
      <c r="I46" s="70"/>
      <c r="J46" s="70">
        <f t="shared" si="28"/>
        <v>7053.0591499999864</v>
      </c>
      <c r="K46" s="70">
        <f t="shared" ref="K46:N46" si="30">MAX((J11+J18+K36)*$C11,0)</f>
        <v>6347.7532350000001</v>
      </c>
      <c r="L46" s="70">
        <f t="shared" si="30"/>
        <v>11603.57361900001</v>
      </c>
      <c r="M46" s="70">
        <f t="shared" si="30"/>
        <v>10443.216257100017</v>
      </c>
      <c r="N46" s="70">
        <f t="shared" si="30"/>
        <v>15584.020124265016</v>
      </c>
    </row>
    <row r="47" spans="2:14" ht="15" x14ac:dyDescent="0.25">
      <c r="B47" s="147" t="str">
        <f>+B12</f>
        <v>Equipo de transporte</v>
      </c>
      <c r="C47" s="54">
        <v>0.1</v>
      </c>
      <c r="D47" s="39"/>
      <c r="E47" s="39"/>
      <c r="F47" s="39"/>
      <c r="G47" s="39"/>
      <c r="H47" s="39"/>
      <c r="I47" s="70"/>
      <c r="J47" s="70">
        <f t="shared" si="28"/>
        <v>51750.754999999888</v>
      </c>
      <c r="K47" s="70">
        <f t="shared" ref="K47:N47" si="31">MAX((J12+J19+K37)*$C12,0)</f>
        <v>160110.32699999982</v>
      </c>
      <c r="L47" s="70">
        <f t="shared" si="31"/>
        <v>120082.74524999992</v>
      </c>
      <c r="M47" s="70">
        <f t="shared" si="31"/>
        <v>223489.04576250003</v>
      </c>
      <c r="N47" s="70">
        <f t="shared" si="31"/>
        <v>167616.78432187508</v>
      </c>
    </row>
    <row r="48" spans="2:14" x14ac:dyDescent="0.2">
      <c r="B48" s="148" t="s">
        <v>102</v>
      </c>
      <c r="C48" s="53"/>
      <c r="D48" s="41"/>
      <c r="E48" s="316">
        <f>+E20-D20</f>
        <v>0</v>
      </c>
      <c r="F48" s="316">
        <f>+F20-E20</f>
        <v>-831730</v>
      </c>
      <c r="G48" s="316">
        <f t="shared" ref="G48:H48" si="32">+G20-F20</f>
        <v>-684217</v>
      </c>
      <c r="H48" s="316">
        <f t="shared" si="32"/>
        <v>-245716.0700000003</v>
      </c>
      <c r="I48" s="71"/>
      <c r="J48" s="71">
        <f>+SUM(J43:J47)</f>
        <v>121673.94239999985</v>
      </c>
      <c r="K48" s="71">
        <f>+SUM(K43:K47)</f>
        <v>237953.77892249977</v>
      </c>
      <c r="L48" s="71">
        <f>+SUM(L43:L47)</f>
        <v>211690.66011337491</v>
      </c>
      <c r="M48" s="71">
        <f>+SUM(M43:M47)</f>
        <v>322377.29218644381</v>
      </c>
      <c r="N48" s="71">
        <f>+SUM(N43:N47)</f>
        <v>280064.510795551</v>
      </c>
    </row>
    <row r="49" spans="4:14" x14ac:dyDescent="0.2">
      <c r="D49" s="3"/>
      <c r="E49" s="3"/>
      <c r="F49" s="3"/>
      <c r="G49" s="3"/>
      <c r="H49" s="3"/>
      <c r="I49" s="70"/>
      <c r="J49" s="3"/>
      <c r="K49" s="3"/>
      <c r="L49" s="3"/>
      <c r="M49" s="3"/>
      <c r="N49" s="3"/>
    </row>
    <row r="50" spans="4:14" x14ac:dyDescent="0.2">
      <c r="D50" s="3"/>
      <c r="E50" s="3"/>
      <c r="F50" s="3"/>
      <c r="G50" s="3"/>
      <c r="H50" s="3"/>
      <c r="I50" s="70"/>
      <c r="J50" s="3"/>
      <c r="K50" s="3"/>
      <c r="L50" s="3"/>
      <c r="M50" s="3"/>
      <c r="N50" s="3"/>
    </row>
    <row r="51" spans="4:14" x14ac:dyDescent="0.2">
      <c r="D51" s="3"/>
      <c r="E51" s="3"/>
      <c r="F51" s="3"/>
      <c r="G51" s="3"/>
      <c r="H51" s="3"/>
      <c r="I51" s="70"/>
      <c r="J51" s="3"/>
      <c r="K51" s="3"/>
      <c r="L51" s="3"/>
      <c r="M51" s="3"/>
      <c r="N51" s="3"/>
    </row>
    <row r="52" spans="4:14" x14ac:dyDescent="0.2">
      <c r="D52" s="3"/>
      <c r="E52" s="3"/>
      <c r="F52" s="3"/>
      <c r="G52" s="3"/>
      <c r="H52" s="3"/>
      <c r="I52" s="70"/>
      <c r="J52" s="3"/>
      <c r="K52" s="3"/>
      <c r="L52" s="3"/>
      <c r="M52" s="3"/>
      <c r="N52" s="3"/>
    </row>
    <row r="53" spans="4:14" x14ac:dyDescent="0.2">
      <c r="D53" s="3"/>
      <c r="E53" s="3"/>
      <c r="F53" s="3"/>
      <c r="G53" s="3"/>
      <c r="H53" s="3"/>
      <c r="I53" s="70"/>
      <c r="J53" s="3"/>
      <c r="K53" s="3"/>
      <c r="L53" s="3"/>
      <c r="M53" s="3"/>
      <c r="N53" s="3"/>
    </row>
    <row r="54" spans="4:14" x14ac:dyDescent="0.2">
      <c r="D54" s="3"/>
      <c r="E54" s="3"/>
      <c r="F54" s="3"/>
      <c r="G54" s="3"/>
      <c r="H54" s="3"/>
      <c r="I54" s="70"/>
      <c r="J54" s="3"/>
      <c r="K54" s="3"/>
      <c r="L54" s="3"/>
      <c r="M54" s="3"/>
      <c r="N54" s="3"/>
    </row>
    <row r="55" spans="4:14" x14ac:dyDescent="0.2">
      <c r="D55" s="3"/>
      <c r="E55" s="3"/>
      <c r="F55" s="3"/>
      <c r="G55" s="3"/>
      <c r="H55" s="3"/>
      <c r="I55" s="70"/>
      <c r="J55" s="3"/>
      <c r="K55" s="3"/>
      <c r="L55" s="3"/>
      <c r="M55" s="3"/>
      <c r="N55" s="3"/>
    </row>
    <row r="56" spans="4:14" x14ac:dyDescent="0.2">
      <c r="D56" s="3"/>
      <c r="E56" s="3"/>
      <c r="F56" s="3"/>
      <c r="G56" s="3"/>
      <c r="H56" s="3"/>
      <c r="I56" s="70"/>
      <c r="J56" s="3"/>
      <c r="K56" s="3"/>
      <c r="L56" s="3"/>
      <c r="M56" s="3"/>
      <c r="N56" s="3"/>
    </row>
    <row r="57" spans="4:14" x14ac:dyDescent="0.2">
      <c r="D57" s="3"/>
      <c r="E57" s="3"/>
      <c r="F57" s="3"/>
      <c r="G57" s="3"/>
      <c r="H57" s="3"/>
      <c r="I57" s="70"/>
      <c r="J57" s="3"/>
      <c r="K57" s="3"/>
      <c r="L57" s="3"/>
      <c r="M57" s="3"/>
      <c r="N57" s="3"/>
    </row>
    <row r="58" spans="4:14" x14ac:dyDescent="0.2">
      <c r="D58" s="3"/>
      <c r="E58" s="3"/>
      <c r="F58" s="3"/>
      <c r="G58" s="3"/>
      <c r="H58" s="3"/>
      <c r="I58" s="70"/>
      <c r="J58" s="3"/>
      <c r="K58" s="3"/>
      <c r="L58" s="3"/>
      <c r="M58" s="3"/>
      <c r="N58" s="3"/>
    </row>
    <row r="59" spans="4:14" x14ac:dyDescent="0.2">
      <c r="D59" s="3"/>
      <c r="E59" s="3"/>
      <c r="F59" s="3"/>
      <c r="G59" s="3"/>
      <c r="H59" s="3"/>
      <c r="I59" s="70"/>
      <c r="J59" s="3"/>
      <c r="K59" s="3"/>
      <c r="L59" s="3"/>
      <c r="M59" s="3"/>
      <c r="N59" s="3"/>
    </row>
    <row r="60" spans="4:14" x14ac:dyDescent="0.2">
      <c r="D60" s="3"/>
      <c r="E60" s="3"/>
      <c r="F60" s="3"/>
      <c r="G60" s="3"/>
      <c r="H60" s="3"/>
      <c r="I60" s="70"/>
      <c r="J60" s="3"/>
      <c r="K60" s="3"/>
      <c r="L60" s="3"/>
      <c r="M60" s="3"/>
      <c r="N60" s="3"/>
    </row>
    <row r="61" spans="4:14" x14ac:dyDescent="0.2">
      <c r="D61" s="3"/>
      <c r="E61" s="3"/>
      <c r="F61" s="3"/>
      <c r="G61" s="3"/>
      <c r="H61" s="3"/>
      <c r="I61" s="70"/>
      <c r="J61" s="3"/>
      <c r="K61" s="3"/>
      <c r="L61" s="3"/>
      <c r="M61" s="3"/>
      <c r="N61" s="3"/>
    </row>
    <row r="62" spans="4:14" x14ac:dyDescent="0.2">
      <c r="D62" s="3"/>
      <c r="E62" s="3"/>
      <c r="F62" s="3"/>
      <c r="G62" s="3"/>
      <c r="H62" s="3"/>
      <c r="I62" s="70"/>
      <c r="J62" s="3"/>
      <c r="K62" s="3"/>
      <c r="L62" s="3"/>
      <c r="M62" s="3"/>
      <c r="N62" s="3"/>
    </row>
    <row r="63" spans="4:14" x14ac:dyDescent="0.2">
      <c r="D63" s="3"/>
      <c r="E63" s="3"/>
      <c r="F63" s="3"/>
      <c r="G63" s="3"/>
      <c r="H63" s="3"/>
      <c r="I63" s="70"/>
      <c r="J63" s="3"/>
      <c r="K63" s="3"/>
      <c r="L63" s="3"/>
      <c r="M63" s="3"/>
      <c r="N63" s="3"/>
    </row>
    <row r="64" spans="4:14" x14ac:dyDescent="0.2">
      <c r="D64" s="3"/>
      <c r="E64" s="3"/>
      <c r="F64" s="3"/>
      <c r="G64" s="3"/>
      <c r="H64" s="3"/>
      <c r="I64" s="70"/>
      <c r="J64" s="3"/>
      <c r="K64" s="3"/>
      <c r="L64" s="3"/>
      <c r="M64" s="3"/>
      <c r="N64" s="3"/>
    </row>
    <row r="65" spans="4:14" x14ac:dyDescent="0.2">
      <c r="D65" s="3"/>
      <c r="E65" s="3"/>
      <c r="F65" s="3"/>
      <c r="G65" s="3"/>
      <c r="H65" s="3"/>
      <c r="I65" s="70"/>
      <c r="J65" s="3"/>
      <c r="K65" s="3"/>
      <c r="L65" s="3"/>
      <c r="M65" s="3"/>
      <c r="N65" s="3"/>
    </row>
    <row r="66" spans="4:14" x14ac:dyDescent="0.2">
      <c r="D66" s="3"/>
      <c r="E66" s="3"/>
      <c r="F66" s="3"/>
      <c r="G66" s="3"/>
      <c r="H66" s="3"/>
      <c r="I66" s="70"/>
      <c r="J66" s="3"/>
      <c r="K66" s="3"/>
      <c r="L66" s="3"/>
      <c r="M66" s="3"/>
      <c r="N66" s="3"/>
    </row>
    <row r="67" spans="4:14" x14ac:dyDescent="0.2">
      <c r="D67" s="3"/>
      <c r="E67" s="3"/>
      <c r="F67" s="3"/>
      <c r="G67" s="3"/>
      <c r="H67" s="3"/>
      <c r="I67" s="70"/>
      <c r="J67" s="3"/>
      <c r="K67" s="3"/>
      <c r="L67" s="3"/>
      <c r="M67" s="3"/>
      <c r="N67" s="3"/>
    </row>
    <row r="68" spans="4:14" x14ac:dyDescent="0.2">
      <c r="D68" s="3"/>
      <c r="E68" s="3"/>
      <c r="F68" s="3"/>
      <c r="G68" s="3"/>
      <c r="H68" s="3"/>
      <c r="I68" s="70"/>
      <c r="J68" s="3"/>
      <c r="K68" s="3"/>
      <c r="L68" s="3"/>
      <c r="M68" s="3"/>
      <c r="N68" s="3"/>
    </row>
    <row r="69" spans="4:14" x14ac:dyDescent="0.2">
      <c r="D69" s="3"/>
      <c r="E69" s="3"/>
      <c r="F69" s="3"/>
      <c r="G69" s="3"/>
      <c r="H69" s="3"/>
      <c r="I69" s="70"/>
      <c r="J69" s="3"/>
      <c r="K69" s="3"/>
      <c r="L69" s="3"/>
      <c r="M69" s="3"/>
      <c r="N69" s="3"/>
    </row>
    <row r="70" spans="4:14" x14ac:dyDescent="0.2">
      <c r="D70" s="3"/>
      <c r="E70" s="3"/>
      <c r="F70" s="3"/>
      <c r="G70" s="3"/>
      <c r="H70" s="3"/>
      <c r="I70" s="70"/>
      <c r="J70" s="3"/>
      <c r="K70" s="3"/>
      <c r="L70" s="3"/>
      <c r="M70" s="3"/>
      <c r="N70" s="3"/>
    </row>
    <row r="71" spans="4:14" x14ac:dyDescent="0.2">
      <c r="D71" s="3"/>
      <c r="E71" s="3"/>
      <c r="F71" s="3"/>
      <c r="G71" s="3"/>
      <c r="H71" s="3"/>
      <c r="I71" s="70"/>
      <c r="J71" s="3"/>
      <c r="K71" s="3"/>
      <c r="L71" s="3"/>
      <c r="M71" s="3"/>
      <c r="N71" s="3"/>
    </row>
    <row r="72" spans="4:14" x14ac:dyDescent="0.2">
      <c r="D72" s="3"/>
      <c r="E72" s="3"/>
      <c r="F72" s="3"/>
      <c r="G72" s="3"/>
      <c r="H72" s="3"/>
      <c r="I72" s="70"/>
      <c r="J72" s="3"/>
      <c r="K72" s="3"/>
      <c r="L72" s="3"/>
      <c r="M72" s="3"/>
      <c r="N72" s="3"/>
    </row>
    <row r="73" spans="4:14" x14ac:dyDescent="0.2">
      <c r="D73" s="3"/>
      <c r="E73" s="3"/>
      <c r="F73" s="3"/>
      <c r="G73" s="3"/>
      <c r="H73" s="3"/>
      <c r="I73" s="70"/>
      <c r="J73" s="3"/>
      <c r="K73" s="3"/>
      <c r="L73" s="3"/>
      <c r="M73" s="3"/>
      <c r="N73" s="3"/>
    </row>
    <row r="74" spans="4:14" x14ac:dyDescent="0.2">
      <c r="D74" s="3"/>
      <c r="E74" s="3"/>
      <c r="F74" s="3"/>
      <c r="G74" s="3"/>
      <c r="H74" s="3"/>
      <c r="I74" s="70"/>
      <c r="J74" s="3"/>
      <c r="K74" s="3"/>
      <c r="L74" s="3"/>
      <c r="M74" s="3"/>
      <c r="N74" s="3"/>
    </row>
    <row r="75" spans="4:14" x14ac:dyDescent="0.2">
      <c r="D75" s="3"/>
      <c r="E75" s="3"/>
      <c r="F75" s="3"/>
      <c r="G75" s="3"/>
      <c r="H75" s="3"/>
      <c r="I75" s="70"/>
      <c r="J75" s="3"/>
      <c r="K75" s="3"/>
      <c r="L75" s="3"/>
      <c r="M75" s="3"/>
      <c r="N75" s="3"/>
    </row>
    <row r="76" spans="4:14" x14ac:dyDescent="0.2">
      <c r="D76" s="3"/>
      <c r="E76" s="3"/>
      <c r="F76" s="3"/>
      <c r="G76" s="3"/>
      <c r="H76" s="3"/>
      <c r="I76" s="70"/>
      <c r="J76" s="3"/>
      <c r="K76" s="3"/>
      <c r="L76" s="3"/>
      <c r="M76" s="3"/>
      <c r="N76" s="3"/>
    </row>
    <row r="77" spans="4:14" x14ac:dyDescent="0.2">
      <c r="D77" s="3"/>
      <c r="E77" s="3"/>
      <c r="F77" s="3"/>
      <c r="G77" s="3"/>
      <c r="H77" s="3"/>
      <c r="I77" s="70"/>
      <c r="J77" s="3"/>
      <c r="K77" s="3"/>
      <c r="L77" s="3"/>
      <c r="M77" s="3"/>
      <c r="N77" s="3"/>
    </row>
    <row r="78" spans="4:14" x14ac:dyDescent="0.2">
      <c r="D78" s="3"/>
      <c r="E78" s="3"/>
      <c r="F78" s="3"/>
      <c r="G78" s="3"/>
      <c r="H78" s="3"/>
      <c r="I78" s="70"/>
      <c r="J78" s="3"/>
      <c r="K78" s="3"/>
      <c r="L78" s="3"/>
      <c r="M78" s="3"/>
      <c r="N78" s="3"/>
    </row>
    <row r="79" spans="4:14" x14ac:dyDescent="0.2">
      <c r="D79" s="3"/>
      <c r="E79" s="3"/>
      <c r="F79" s="3"/>
      <c r="G79" s="3"/>
      <c r="H79" s="3"/>
      <c r="I79" s="70"/>
      <c r="J79" s="3"/>
      <c r="K79" s="3"/>
      <c r="L79" s="3"/>
      <c r="M79" s="3"/>
      <c r="N79" s="3"/>
    </row>
    <row r="80" spans="4:14" x14ac:dyDescent="0.2">
      <c r="D80" s="3"/>
      <c r="E80" s="3"/>
      <c r="F80" s="3"/>
      <c r="G80" s="3"/>
      <c r="H80" s="3"/>
      <c r="I80" s="70"/>
      <c r="J80" s="3"/>
      <c r="K80" s="3"/>
      <c r="L80" s="3"/>
      <c r="M80" s="3"/>
      <c r="N80" s="3"/>
    </row>
    <row r="81" spans="4:14" x14ac:dyDescent="0.2">
      <c r="D81" s="3"/>
      <c r="E81" s="3"/>
      <c r="F81" s="3"/>
      <c r="G81" s="3"/>
      <c r="H81" s="3"/>
      <c r="I81" s="70"/>
      <c r="J81" s="3"/>
      <c r="K81" s="3"/>
      <c r="L81" s="3"/>
      <c r="M81" s="3"/>
      <c r="N81" s="3"/>
    </row>
    <row r="82" spans="4:14" x14ac:dyDescent="0.2">
      <c r="D82" s="3"/>
      <c r="E82" s="3"/>
      <c r="F82" s="3"/>
      <c r="G82" s="3"/>
      <c r="H82" s="3"/>
      <c r="I82" s="70"/>
      <c r="J82" s="3"/>
      <c r="K82" s="3"/>
      <c r="L82" s="3"/>
      <c r="M82" s="3"/>
      <c r="N82" s="3"/>
    </row>
    <row r="83" spans="4:14" x14ac:dyDescent="0.2">
      <c r="D83" s="3"/>
      <c r="E83" s="3"/>
      <c r="F83" s="3"/>
      <c r="G83" s="3"/>
      <c r="H83" s="3"/>
      <c r="I83" s="70"/>
      <c r="J83" s="3"/>
      <c r="K83" s="3"/>
      <c r="L83" s="3"/>
      <c r="M83" s="3"/>
      <c r="N83" s="3"/>
    </row>
    <row r="84" spans="4:14" x14ac:dyDescent="0.2">
      <c r="D84" s="3"/>
      <c r="E84" s="3"/>
      <c r="F84" s="3"/>
      <c r="G84" s="3"/>
      <c r="H84" s="3"/>
      <c r="I84" s="70"/>
      <c r="J84" s="3"/>
      <c r="K84" s="3"/>
      <c r="L84" s="3"/>
      <c r="M84" s="3"/>
      <c r="N84" s="3"/>
    </row>
    <row r="85" spans="4:14" x14ac:dyDescent="0.2">
      <c r="D85" s="3"/>
      <c r="E85" s="3"/>
      <c r="F85" s="3"/>
      <c r="G85" s="3"/>
      <c r="H85" s="3"/>
      <c r="I85" s="70"/>
      <c r="J85" s="3"/>
      <c r="K85" s="3"/>
      <c r="L85" s="3"/>
      <c r="M85" s="3"/>
      <c r="N85" s="3"/>
    </row>
    <row r="86" spans="4:14" x14ac:dyDescent="0.2">
      <c r="D86" s="3"/>
      <c r="E86" s="3"/>
      <c r="F86" s="3"/>
      <c r="G86" s="3"/>
      <c r="H86" s="3"/>
      <c r="I86" s="70"/>
      <c r="J86" s="3"/>
      <c r="K86" s="3"/>
      <c r="L86" s="3"/>
      <c r="M86" s="3"/>
      <c r="N86" s="3"/>
    </row>
    <row r="87" spans="4:14" x14ac:dyDescent="0.2">
      <c r="D87" s="3"/>
      <c r="E87" s="3"/>
      <c r="F87" s="3"/>
      <c r="G87" s="3"/>
      <c r="H87" s="3"/>
      <c r="I87" s="70"/>
      <c r="J87" s="3"/>
      <c r="K87" s="3"/>
      <c r="L87" s="3"/>
      <c r="M87" s="3"/>
      <c r="N87" s="3"/>
    </row>
    <row r="88" spans="4:14" x14ac:dyDescent="0.2">
      <c r="D88" s="3"/>
      <c r="E88" s="3"/>
      <c r="F88" s="3"/>
      <c r="G88" s="3"/>
      <c r="H88" s="3"/>
      <c r="I88" s="70"/>
      <c r="J88" s="3"/>
      <c r="K88" s="3"/>
      <c r="L88" s="3"/>
      <c r="M88" s="3"/>
      <c r="N88" s="3"/>
    </row>
    <row r="89" spans="4:14" x14ac:dyDescent="0.2">
      <c r="D89" s="3"/>
      <c r="E89" s="3"/>
      <c r="F89" s="3"/>
      <c r="G89" s="3"/>
      <c r="H89" s="3"/>
      <c r="I89" s="70"/>
      <c r="J89" s="3"/>
      <c r="K89" s="3"/>
      <c r="L89" s="3"/>
      <c r="M89" s="3"/>
      <c r="N89" s="3"/>
    </row>
    <row r="90" spans="4:14" x14ac:dyDescent="0.2">
      <c r="D90" s="3"/>
      <c r="E90" s="3"/>
      <c r="F90" s="3"/>
      <c r="G90" s="3"/>
      <c r="H90" s="3"/>
      <c r="I90" s="70"/>
      <c r="J90" s="3"/>
      <c r="K90" s="3"/>
      <c r="L90" s="3"/>
      <c r="M90" s="3"/>
      <c r="N90" s="3"/>
    </row>
    <row r="91" spans="4:14" x14ac:dyDescent="0.2">
      <c r="D91" s="3"/>
      <c r="E91" s="3"/>
      <c r="F91" s="3"/>
      <c r="G91" s="3"/>
      <c r="H91" s="3"/>
      <c r="I91" s="70"/>
      <c r="J91" s="3"/>
      <c r="K91" s="3"/>
      <c r="L91" s="3"/>
      <c r="M91" s="3"/>
      <c r="N91" s="3"/>
    </row>
    <row r="92" spans="4:14" x14ac:dyDescent="0.2">
      <c r="D92" s="3"/>
      <c r="E92" s="3"/>
      <c r="F92" s="3"/>
      <c r="G92" s="3"/>
      <c r="H92" s="3"/>
      <c r="I92" s="70"/>
      <c r="J92" s="3"/>
      <c r="K92" s="3"/>
      <c r="L92" s="3"/>
      <c r="M92" s="3"/>
      <c r="N92" s="3"/>
    </row>
    <row r="93" spans="4:14" x14ac:dyDescent="0.2">
      <c r="D93" s="3"/>
      <c r="E93" s="3"/>
      <c r="F93" s="3"/>
      <c r="G93" s="3"/>
      <c r="H93" s="3"/>
      <c r="I93" s="70"/>
      <c r="J93" s="3"/>
      <c r="K93" s="3"/>
      <c r="L93" s="3"/>
      <c r="M93" s="3"/>
      <c r="N93" s="3"/>
    </row>
    <row r="94" spans="4:14" x14ac:dyDescent="0.2">
      <c r="D94" s="3"/>
      <c r="E94" s="3"/>
      <c r="F94" s="3"/>
      <c r="G94" s="3"/>
      <c r="H94" s="3"/>
      <c r="I94" s="70"/>
      <c r="J94" s="3"/>
      <c r="K94" s="3"/>
      <c r="L94" s="3"/>
      <c r="M94" s="3"/>
      <c r="N94" s="3"/>
    </row>
    <row r="95" spans="4:14" x14ac:dyDescent="0.2">
      <c r="D95" s="3"/>
      <c r="E95" s="3"/>
      <c r="F95" s="3"/>
      <c r="G95" s="3"/>
      <c r="H95" s="3"/>
      <c r="I95" s="70"/>
      <c r="J95" s="3"/>
      <c r="K95" s="3"/>
      <c r="L95" s="3"/>
      <c r="M95" s="3"/>
      <c r="N95" s="3"/>
    </row>
    <row r="96" spans="4:14" x14ac:dyDescent="0.2">
      <c r="D96" s="3"/>
      <c r="E96" s="3"/>
      <c r="F96" s="3"/>
      <c r="G96" s="3"/>
      <c r="H96" s="3"/>
      <c r="I96" s="70"/>
      <c r="J96" s="3"/>
      <c r="K96" s="3"/>
      <c r="L96" s="3"/>
      <c r="M96" s="3"/>
      <c r="N96" s="3"/>
    </row>
    <row r="97" spans="4:14" x14ac:dyDescent="0.2">
      <c r="D97" s="3"/>
      <c r="E97" s="3"/>
      <c r="F97" s="3"/>
      <c r="G97" s="3"/>
      <c r="H97" s="3"/>
      <c r="I97" s="70"/>
      <c r="J97" s="3"/>
      <c r="K97" s="3"/>
      <c r="L97" s="3"/>
      <c r="M97" s="3"/>
      <c r="N97" s="3"/>
    </row>
    <row r="98" spans="4:14" x14ac:dyDescent="0.2">
      <c r="D98" s="3"/>
      <c r="E98" s="3"/>
      <c r="F98" s="3"/>
      <c r="G98" s="3"/>
      <c r="H98" s="3"/>
      <c r="I98" s="70"/>
      <c r="J98" s="3"/>
      <c r="K98" s="3"/>
      <c r="L98" s="3"/>
      <c r="M98" s="3"/>
      <c r="N98" s="3"/>
    </row>
    <row r="99" spans="4:14" x14ac:dyDescent="0.2">
      <c r="D99" s="3"/>
      <c r="E99" s="3"/>
      <c r="F99" s="3"/>
      <c r="G99" s="3"/>
      <c r="H99" s="3"/>
      <c r="I99" s="70"/>
      <c r="J99" s="3"/>
      <c r="K99" s="3"/>
      <c r="L99" s="3"/>
      <c r="M99" s="3"/>
      <c r="N99" s="3"/>
    </row>
    <row r="100" spans="4:14" x14ac:dyDescent="0.2">
      <c r="D100" s="3"/>
      <c r="E100" s="3"/>
      <c r="F100" s="3"/>
      <c r="G100" s="3"/>
      <c r="H100" s="3"/>
      <c r="I100" s="70"/>
      <c r="J100" s="3"/>
      <c r="K100" s="3"/>
      <c r="L100" s="3"/>
      <c r="M100" s="3"/>
      <c r="N100" s="3"/>
    </row>
    <row r="101" spans="4:14" x14ac:dyDescent="0.2">
      <c r="D101" s="3"/>
      <c r="E101" s="3"/>
      <c r="F101" s="3"/>
      <c r="G101" s="3"/>
      <c r="H101" s="3"/>
      <c r="I101" s="70"/>
      <c r="J101" s="3"/>
      <c r="K101" s="3"/>
      <c r="L101" s="3"/>
      <c r="M101" s="3"/>
      <c r="N101" s="3"/>
    </row>
    <row r="102" spans="4:14" x14ac:dyDescent="0.2">
      <c r="D102" s="3"/>
      <c r="E102" s="3"/>
      <c r="F102" s="3"/>
      <c r="G102" s="3"/>
      <c r="H102" s="3"/>
      <c r="I102" s="70"/>
      <c r="J102" s="3"/>
      <c r="K102" s="3"/>
      <c r="L102" s="3"/>
      <c r="M102" s="3"/>
      <c r="N102" s="3"/>
    </row>
    <row r="103" spans="4:14" x14ac:dyDescent="0.2">
      <c r="D103" s="3"/>
      <c r="E103" s="3"/>
      <c r="F103" s="3"/>
      <c r="G103" s="3"/>
      <c r="H103" s="3"/>
      <c r="I103" s="70"/>
      <c r="J103" s="3"/>
      <c r="K103" s="3"/>
      <c r="L103" s="3"/>
      <c r="M103" s="3"/>
      <c r="N103" s="3"/>
    </row>
    <row r="104" spans="4:14" x14ac:dyDescent="0.2">
      <c r="D104" s="3"/>
      <c r="E104" s="3"/>
      <c r="F104" s="3"/>
      <c r="G104" s="3"/>
      <c r="H104" s="3"/>
      <c r="I104" s="70"/>
      <c r="J104" s="3"/>
      <c r="K104" s="3"/>
      <c r="L104" s="3"/>
      <c r="M104" s="3"/>
      <c r="N104" s="3"/>
    </row>
    <row r="105" spans="4:14" x14ac:dyDescent="0.2">
      <c r="D105" s="3"/>
      <c r="E105" s="3"/>
      <c r="F105" s="3"/>
      <c r="G105" s="3"/>
      <c r="H105" s="3"/>
      <c r="I105" s="70"/>
      <c r="J105" s="3"/>
      <c r="K105" s="3"/>
      <c r="L105" s="3"/>
      <c r="M105" s="3"/>
      <c r="N105" s="3"/>
    </row>
    <row r="106" spans="4:14" x14ac:dyDescent="0.2">
      <c r="D106" s="3"/>
      <c r="E106" s="3"/>
      <c r="F106" s="3"/>
      <c r="G106" s="3"/>
      <c r="H106" s="3"/>
      <c r="I106" s="70"/>
      <c r="J106" s="3"/>
      <c r="K106" s="3"/>
      <c r="L106" s="3"/>
      <c r="M106" s="3"/>
      <c r="N106" s="3"/>
    </row>
    <row r="107" spans="4:14" x14ac:dyDescent="0.2">
      <c r="D107" s="3"/>
      <c r="E107" s="3"/>
      <c r="F107" s="3"/>
      <c r="G107" s="3"/>
      <c r="H107" s="3"/>
      <c r="I107" s="70"/>
      <c r="J107" s="3"/>
      <c r="K107" s="3"/>
      <c r="L107" s="3"/>
      <c r="M107" s="3"/>
      <c r="N107" s="3"/>
    </row>
    <row r="108" spans="4:14" x14ac:dyDescent="0.2">
      <c r="D108" s="3"/>
      <c r="E108" s="3"/>
      <c r="F108" s="3"/>
      <c r="G108" s="3"/>
      <c r="H108" s="3"/>
      <c r="I108" s="70"/>
      <c r="J108" s="3"/>
      <c r="K108" s="3"/>
      <c r="L108" s="3"/>
      <c r="M108" s="3"/>
      <c r="N108" s="3"/>
    </row>
    <row r="109" spans="4:14" x14ac:dyDescent="0.2">
      <c r="D109" s="3"/>
      <c r="E109" s="3"/>
      <c r="F109" s="3"/>
      <c r="G109" s="3"/>
      <c r="H109" s="3"/>
      <c r="I109" s="70"/>
      <c r="J109" s="3"/>
      <c r="K109" s="3"/>
      <c r="L109" s="3"/>
      <c r="M109" s="3"/>
      <c r="N109" s="3"/>
    </row>
    <row r="110" spans="4:14" x14ac:dyDescent="0.2">
      <c r="D110" s="3"/>
      <c r="E110" s="3"/>
      <c r="F110" s="3"/>
      <c r="G110" s="3"/>
      <c r="H110" s="3"/>
      <c r="I110" s="70"/>
      <c r="J110" s="3"/>
      <c r="K110" s="3"/>
      <c r="L110" s="3"/>
      <c r="M110" s="3"/>
      <c r="N110" s="3"/>
    </row>
    <row r="111" spans="4:14" x14ac:dyDescent="0.2">
      <c r="D111" s="3"/>
      <c r="E111" s="3"/>
      <c r="F111" s="3"/>
      <c r="G111" s="3"/>
      <c r="H111" s="3"/>
      <c r="I111" s="70"/>
      <c r="J111" s="3"/>
      <c r="K111" s="3"/>
      <c r="L111" s="3"/>
      <c r="M111" s="3"/>
      <c r="N111" s="3"/>
    </row>
    <row r="112" spans="4:14" x14ac:dyDescent="0.2">
      <c r="D112" s="3"/>
      <c r="E112" s="3"/>
      <c r="F112" s="3"/>
      <c r="G112" s="3"/>
      <c r="H112" s="3"/>
      <c r="I112" s="70"/>
      <c r="J112" s="3"/>
      <c r="K112" s="3"/>
      <c r="L112" s="3"/>
      <c r="M112" s="3"/>
      <c r="N112" s="3"/>
    </row>
    <row r="113" spans="4:14" x14ac:dyDescent="0.2">
      <c r="D113" s="3"/>
      <c r="E113" s="3"/>
      <c r="F113" s="3"/>
      <c r="G113" s="3"/>
      <c r="H113" s="3"/>
      <c r="I113" s="70"/>
      <c r="J113" s="3"/>
      <c r="K113" s="3"/>
      <c r="L113" s="3"/>
      <c r="M113" s="3"/>
      <c r="N113" s="3"/>
    </row>
    <row r="114" spans="4:14" x14ac:dyDescent="0.2">
      <c r="D114" s="3"/>
      <c r="E114" s="3"/>
      <c r="F114" s="3"/>
      <c r="G114" s="3"/>
      <c r="H114" s="3"/>
      <c r="I114" s="70"/>
      <c r="J114" s="3"/>
      <c r="K114" s="3"/>
      <c r="L114" s="3"/>
      <c r="M114" s="3"/>
      <c r="N114" s="3"/>
    </row>
    <row r="115" spans="4:14" x14ac:dyDescent="0.2">
      <c r="D115" s="3"/>
      <c r="E115" s="3"/>
      <c r="F115" s="3"/>
      <c r="G115" s="3"/>
      <c r="H115" s="3"/>
      <c r="I115" s="70"/>
      <c r="J115" s="3"/>
      <c r="K115" s="3"/>
      <c r="L115" s="3"/>
      <c r="M115" s="3"/>
      <c r="N115" s="3"/>
    </row>
    <row r="116" spans="4:14" x14ac:dyDescent="0.2">
      <c r="D116" s="3"/>
      <c r="E116" s="3"/>
      <c r="F116" s="3"/>
      <c r="G116" s="3"/>
      <c r="H116" s="3"/>
      <c r="I116" s="70"/>
      <c r="J116" s="3"/>
      <c r="K116" s="3"/>
      <c r="L116" s="3"/>
      <c r="M116" s="3"/>
      <c r="N116" s="3"/>
    </row>
    <row r="117" spans="4:14" x14ac:dyDescent="0.2">
      <c r="D117" s="3"/>
      <c r="E117" s="3"/>
      <c r="F117" s="3"/>
      <c r="G117" s="3"/>
      <c r="H117" s="3"/>
      <c r="I117" s="70"/>
      <c r="J117" s="3"/>
      <c r="K117" s="3"/>
      <c r="L117" s="3"/>
      <c r="M117" s="3"/>
      <c r="N117" s="3"/>
    </row>
    <row r="118" spans="4:14" x14ac:dyDescent="0.2">
      <c r="D118" s="3"/>
      <c r="E118" s="3"/>
      <c r="F118" s="3"/>
      <c r="G118" s="3"/>
      <c r="H118" s="3"/>
      <c r="I118" s="70"/>
      <c r="J118" s="3"/>
      <c r="K118" s="3"/>
      <c r="L118" s="3"/>
      <c r="M118" s="3"/>
      <c r="N118" s="3"/>
    </row>
    <row r="119" spans="4:14" x14ac:dyDescent="0.2">
      <c r="D119" s="3"/>
      <c r="E119" s="3"/>
      <c r="F119" s="3"/>
      <c r="G119" s="3"/>
      <c r="H119" s="3"/>
      <c r="I119" s="70"/>
      <c r="J119" s="3"/>
      <c r="K119" s="3"/>
      <c r="L119" s="3"/>
      <c r="M119" s="3"/>
      <c r="N119" s="3"/>
    </row>
    <row r="120" spans="4:14" x14ac:dyDescent="0.2">
      <c r="D120" s="3"/>
      <c r="E120" s="3"/>
      <c r="F120" s="3"/>
      <c r="G120" s="3"/>
      <c r="H120" s="3"/>
      <c r="I120" s="70"/>
      <c r="J120" s="3"/>
      <c r="K120" s="3"/>
      <c r="L120" s="3"/>
      <c r="M120" s="3"/>
      <c r="N120" s="3"/>
    </row>
    <row r="121" spans="4:14" x14ac:dyDescent="0.2">
      <c r="D121" s="3"/>
      <c r="E121" s="3"/>
      <c r="F121" s="3"/>
      <c r="G121" s="3"/>
      <c r="H121" s="3"/>
      <c r="I121" s="70"/>
      <c r="J121" s="3"/>
      <c r="K121" s="3"/>
      <c r="L121" s="3"/>
      <c r="M121" s="3"/>
      <c r="N121" s="3"/>
    </row>
    <row r="122" spans="4:14" x14ac:dyDescent="0.2">
      <c r="D122" s="3"/>
      <c r="E122" s="3"/>
      <c r="F122" s="3"/>
      <c r="G122" s="3"/>
      <c r="H122" s="3"/>
      <c r="I122" s="70"/>
      <c r="J122" s="3"/>
      <c r="K122" s="3"/>
      <c r="L122" s="3"/>
      <c r="M122" s="3"/>
      <c r="N122" s="3"/>
    </row>
    <row r="123" spans="4:14" x14ac:dyDescent="0.2">
      <c r="D123" s="3"/>
      <c r="E123" s="3"/>
      <c r="F123" s="3"/>
      <c r="G123" s="3"/>
      <c r="H123" s="3"/>
      <c r="I123" s="70"/>
      <c r="J123" s="3"/>
      <c r="K123" s="3"/>
      <c r="L123" s="3"/>
      <c r="M123" s="3"/>
      <c r="N123" s="3"/>
    </row>
    <row r="124" spans="4:14" x14ac:dyDescent="0.2">
      <c r="D124" s="3"/>
      <c r="E124" s="3"/>
      <c r="F124" s="3"/>
      <c r="G124" s="3"/>
      <c r="H124" s="3"/>
      <c r="I124" s="70"/>
      <c r="J124" s="3"/>
      <c r="K124" s="3"/>
      <c r="L124" s="3"/>
      <c r="M124" s="3"/>
      <c r="N124" s="3"/>
    </row>
    <row r="125" spans="4:14" x14ac:dyDescent="0.2">
      <c r="D125" s="3"/>
      <c r="E125" s="3"/>
      <c r="F125" s="3"/>
      <c r="G125" s="3"/>
      <c r="H125" s="3"/>
      <c r="I125" s="70"/>
      <c r="J125" s="3"/>
      <c r="K125" s="3"/>
      <c r="L125" s="3"/>
      <c r="M125" s="3"/>
      <c r="N125" s="3"/>
    </row>
    <row r="126" spans="4:14" x14ac:dyDescent="0.2">
      <c r="D126" s="3"/>
      <c r="E126" s="3"/>
      <c r="F126" s="3"/>
      <c r="G126" s="3"/>
      <c r="H126" s="3"/>
      <c r="I126" s="70"/>
      <c r="J126" s="3"/>
      <c r="K126" s="3"/>
      <c r="L126" s="3"/>
      <c r="M126" s="3"/>
      <c r="N126" s="3"/>
    </row>
    <row r="127" spans="4:14" x14ac:dyDescent="0.2">
      <c r="D127" s="3"/>
      <c r="E127" s="3"/>
      <c r="F127" s="3"/>
      <c r="G127" s="3"/>
      <c r="H127" s="3"/>
      <c r="I127" s="70"/>
      <c r="J127" s="3"/>
      <c r="K127" s="3"/>
      <c r="L127" s="3"/>
      <c r="M127" s="3"/>
      <c r="N127" s="3"/>
    </row>
    <row r="128" spans="4:14" x14ac:dyDescent="0.2">
      <c r="D128" s="3"/>
      <c r="E128" s="3"/>
      <c r="F128" s="3"/>
      <c r="G128" s="3"/>
      <c r="H128" s="3"/>
      <c r="I128" s="70"/>
      <c r="J128" s="3"/>
      <c r="K128" s="3"/>
      <c r="L128" s="3"/>
      <c r="M128" s="3"/>
      <c r="N128" s="3"/>
    </row>
    <row r="129" spans="4:14" x14ac:dyDescent="0.2">
      <c r="D129" s="3"/>
      <c r="E129" s="3"/>
      <c r="F129" s="3"/>
      <c r="G129" s="3"/>
      <c r="H129" s="3"/>
      <c r="I129" s="70"/>
      <c r="J129" s="3"/>
      <c r="K129" s="3"/>
      <c r="L129" s="3"/>
      <c r="M129" s="3"/>
      <c r="N129" s="3"/>
    </row>
    <row r="130" spans="4:14" x14ac:dyDescent="0.2">
      <c r="D130" s="3"/>
      <c r="E130" s="3"/>
      <c r="F130" s="3"/>
      <c r="G130" s="3"/>
      <c r="H130" s="3"/>
      <c r="I130" s="70"/>
      <c r="J130" s="3"/>
      <c r="K130" s="3"/>
      <c r="L130" s="3"/>
      <c r="M130" s="3"/>
      <c r="N130" s="3"/>
    </row>
    <row r="131" spans="4:14" x14ac:dyDescent="0.2">
      <c r="D131" s="3"/>
      <c r="E131" s="3"/>
      <c r="F131" s="3"/>
      <c r="G131" s="3"/>
      <c r="H131" s="3"/>
      <c r="I131" s="70"/>
      <c r="J131" s="3"/>
      <c r="K131" s="3"/>
      <c r="L131" s="3"/>
      <c r="M131" s="3"/>
      <c r="N131" s="3"/>
    </row>
    <row r="132" spans="4:14" x14ac:dyDescent="0.2">
      <c r="D132" s="3"/>
      <c r="E132" s="3"/>
      <c r="F132" s="3"/>
      <c r="G132" s="3"/>
      <c r="H132" s="3"/>
      <c r="I132" s="70"/>
      <c r="J132" s="3"/>
      <c r="K132" s="3"/>
      <c r="L132" s="3"/>
      <c r="M132" s="3"/>
      <c r="N132" s="3"/>
    </row>
    <row r="133" spans="4:14" x14ac:dyDescent="0.2">
      <c r="D133" s="3"/>
      <c r="E133" s="3"/>
      <c r="F133" s="3"/>
      <c r="G133" s="3"/>
      <c r="H133" s="3"/>
      <c r="I133" s="70"/>
      <c r="J133" s="3"/>
      <c r="K133" s="3"/>
      <c r="L133" s="3"/>
      <c r="M133" s="3"/>
      <c r="N133" s="3"/>
    </row>
    <row r="134" spans="4:14" x14ac:dyDescent="0.2">
      <c r="D134" s="3"/>
      <c r="E134" s="3"/>
      <c r="F134" s="3"/>
      <c r="G134" s="3"/>
      <c r="H134" s="3"/>
      <c r="I134" s="70"/>
      <c r="J134" s="3"/>
      <c r="K134" s="3"/>
      <c r="L134" s="3"/>
      <c r="M134" s="3"/>
      <c r="N134" s="3"/>
    </row>
    <row r="135" spans="4:14" x14ac:dyDescent="0.2">
      <c r="D135" s="3"/>
      <c r="E135" s="3"/>
      <c r="F135" s="3"/>
      <c r="G135" s="3"/>
      <c r="H135" s="3"/>
      <c r="I135" s="70"/>
      <c r="J135" s="3"/>
      <c r="K135" s="3"/>
      <c r="L135" s="3"/>
      <c r="M135" s="3"/>
      <c r="N135" s="3"/>
    </row>
    <row r="136" spans="4:14" x14ac:dyDescent="0.2">
      <c r="D136" s="3"/>
      <c r="E136" s="3"/>
      <c r="F136" s="3"/>
      <c r="G136" s="3"/>
      <c r="H136" s="3"/>
      <c r="I136" s="70"/>
      <c r="J136" s="3"/>
      <c r="K136" s="3"/>
      <c r="L136" s="3"/>
      <c r="M136" s="3"/>
      <c r="N136" s="3"/>
    </row>
    <row r="137" spans="4:14" x14ac:dyDescent="0.2">
      <c r="D137" s="3"/>
      <c r="E137" s="3"/>
      <c r="F137" s="3"/>
      <c r="G137" s="3"/>
      <c r="H137" s="3"/>
      <c r="I137" s="70"/>
      <c r="J137" s="3"/>
      <c r="K137" s="3"/>
      <c r="L137" s="3"/>
      <c r="M137" s="3"/>
      <c r="N137" s="3"/>
    </row>
    <row r="138" spans="4:14" x14ac:dyDescent="0.2">
      <c r="D138" s="3"/>
      <c r="E138" s="3"/>
      <c r="F138" s="3"/>
      <c r="G138" s="3"/>
      <c r="H138" s="3"/>
      <c r="I138" s="3"/>
      <c r="J138" s="3"/>
      <c r="K138" s="3"/>
      <c r="L138" s="3"/>
      <c r="M138" s="3"/>
      <c r="N138" s="3"/>
    </row>
    <row r="139" spans="4:14" x14ac:dyDescent="0.2">
      <c r="D139" s="3"/>
      <c r="E139" s="3"/>
      <c r="F139" s="3"/>
      <c r="G139" s="3"/>
      <c r="H139" s="3"/>
      <c r="I139" s="3"/>
      <c r="J139" s="3"/>
      <c r="K139" s="3"/>
      <c r="L139" s="3"/>
      <c r="M139" s="3"/>
      <c r="N139" s="3"/>
    </row>
    <row r="140" spans="4:14" x14ac:dyDescent="0.2">
      <c r="D140" s="3"/>
      <c r="E140" s="3"/>
      <c r="F140" s="3"/>
      <c r="G140" s="3"/>
      <c r="H140" s="3"/>
      <c r="I140" s="3"/>
      <c r="J140" s="3"/>
      <c r="K140" s="3"/>
      <c r="L140" s="3"/>
      <c r="M140" s="3"/>
      <c r="N140" s="3"/>
    </row>
    <row r="141" spans="4:14" x14ac:dyDescent="0.2">
      <c r="D141" s="3"/>
      <c r="E141" s="3"/>
      <c r="F141" s="3"/>
      <c r="G141" s="3"/>
      <c r="H141" s="3"/>
      <c r="I141" s="3"/>
      <c r="J141" s="3"/>
      <c r="K141" s="3"/>
      <c r="L141" s="3"/>
      <c r="M141" s="3"/>
      <c r="N141" s="3"/>
    </row>
    <row r="142" spans="4:14" x14ac:dyDescent="0.2">
      <c r="D142" s="3"/>
      <c r="E142" s="3"/>
      <c r="F142" s="3"/>
      <c r="G142" s="3"/>
      <c r="H142" s="3"/>
      <c r="I142" s="3"/>
      <c r="J142" s="3"/>
      <c r="K142" s="3"/>
      <c r="L142" s="3"/>
      <c r="M142" s="3"/>
      <c r="N142" s="3"/>
    </row>
    <row r="143" spans="4:14" x14ac:dyDescent="0.2">
      <c r="D143" s="3"/>
      <c r="E143" s="3"/>
      <c r="F143" s="3"/>
      <c r="G143" s="3"/>
      <c r="H143" s="3"/>
      <c r="I143" s="3"/>
      <c r="J143" s="3"/>
      <c r="K143" s="3"/>
      <c r="L143" s="3"/>
      <c r="M143" s="3"/>
      <c r="N143" s="3"/>
    </row>
  </sheetData>
  <mergeCells count="6">
    <mergeCell ref="J5:N5"/>
    <mergeCell ref="J30:N30"/>
    <mergeCell ref="J40:N40"/>
    <mergeCell ref="D5:H5"/>
    <mergeCell ref="D30:H30"/>
    <mergeCell ref="D40:H40"/>
  </mergeCells>
  <pageMargins left="0.7" right="0.7" top="0.75" bottom="0.75" header="0.3" footer="0.3"/>
  <pageSetup orientation="portrait" horizontalDpi="0" verticalDpi="0" r:id="rId1"/>
  <ignoredErrors>
    <ignoredError sqref="J10:N11 J12:N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B1:H103"/>
  <sheetViews>
    <sheetView showGridLines="0" workbookViewId="0">
      <pane xSplit="2" ySplit="5" topLeftCell="C6" activePane="bottomRight" state="frozen"/>
      <selection pane="topRight" activeCell="D1" sqref="D1"/>
      <selection pane="bottomLeft" activeCell="A6" sqref="A6"/>
      <selection pane="bottomRight" activeCell="I34" sqref="I34"/>
    </sheetView>
  </sheetViews>
  <sheetFormatPr baseColWidth="10" defaultRowHeight="14.25" outlineLevelRow="1" outlineLevelCol="1" x14ac:dyDescent="0.2"/>
  <cols>
    <col min="1" max="1" width="1.75" customWidth="1"/>
    <col min="2" max="2" width="28.5" bestFit="1" customWidth="1"/>
    <col min="3" max="6" width="9.875" customWidth="1" outlineLevel="1"/>
    <col min="7" max="8" width="10.5" customWidth="1" outlineLevel="1"/>
  </cols>
  <sheetData>
    <row r="1" spans="2:8" s="187" customFormat="1" ht="15.75" x14ac:dyDescent="0.25">
      <c r="B1" s="188" t="str">
        <f>+'&gt;&gt;LP Modelo '!B1</f>
        <v>Lubricantes de la Peninsula, SA de CV</v>
      </c>
    </row>
    <row r="2" spans="2:8" s="187" customFormat="1" ht="15.75" x14ac:dyDescent="0.25">
      <c r="B2" s="188" t="str">
        <f>+'&gt;&gt;LP Modelo '!B2</f>
        <v>LP</v>
      </c>
    </row>
    <row r="3" spans="2:8" s="187" customFormat="1" ht="15.75" x14ac:dyDescent="0.25">
      <c r="B3" s="189" t="s">
        <v>322</v>
      </c>
    </row>
    <row r="4" spans="2:8" ht="15.75" x14ac:dyDescent="0.25">
      <c r="B4" s="47"/>
    </row>
    <row r="5" spans="2:8" ht="25.5" x14ac:dyDescent="0.2">
      <c r="B5" s="129" t="s">
        <v>107</v>
      </c>
      <c r="C5" s="130" t="str">
        <f>+'&gt;&gt;LP Modelo '!H6</f>
        <v xml:space="preserve">2014 Sep Real </v>
      </c>
      <c r="D5" s="130">
        <v>2015</v>
      </c>
      <c r="E5" s="130">
        <v>2016</v>
      </c>
      <c r="F5" s="130">
        <v>2017</v>
      </c>
      <c r="G5" s="130">
        <v>2018</v>
      </c>
      <c r="H5" s="130">
        <v>2019</v>
      </c>
    </row>
    <row r="7" spans="2:8" x14ac:dyDescent="0.2">
      <c r="B7" s="35" t="s">
        <v>128</v>
      </c>
      <c r="C7" s="3">
        <f>+'&gt;&gt;LP Modelo '!H118</f>
        <v>0</v>
      </c>
      <c r="D7" s="3">
        <f>+C7+D12-D13</f>
        <v>0</v>
      </c>
      <c r="E7" s="3">
        <f>+D7+E12-E13</f>
        <v>0</v>
      </c>
      <c r="F7" s="3">
        <f>+E7+F12-F13</f>
        <v>0</v>
      </c>
      <c r="G7" s="3">
        <f>+F7+G12-G13</f>
        <v>0</v>
      </c>
      <c r="H7" s="3">
        <f>+G7+H12-H13</f>
        <v>0</v>
      </c>
    </row>
    <row r="8" spans="2:8" ht="15" outlineLevel="1" x14ac:dyDescent="0.25">
      <c r="B8" s="79" t="s">
        <v>125</v>
      </c>
      <c r="C8" s="27">
        <f>+'&gt;&gt;LP Modelo '!H81</f>
        <v>16014888.310000001</v>
      </c>
      <c r="D8" s="27">
        <f>+'&gt;&gt;LP Modelo '!J81</f>
        <v>14004812.391933335</v>
      </c>
      <c r="E8" s="27">
        <f>+'&gt;&gt;LP Modelo '!K81</f>
        <v>15363473.012718333</v>
      </c>
      <c r="F8" s="27">
        <f>+'&gt;&gt;LP Modelo '!L81</f>
        <v>16900205.980353594</v>
      </c>
      <c r="G8" s="27">
        <f>+'&gt;&gt;LP Modelo '!M81</f>
        <v>18645934.498646989</v>
      </c>
      <c r="H8" s="27">
        <f>+'&gt;&gt;LP Modelo '!N81</f>
        <v>20637872.053925391</v>
      </c>
    </row>
    <row r="9" spans="2:8" ht="15" outlineLevel="1" x14ac:dyDescent="0.25">
      <c r="B9" s="79" t="s">
        <v>126</v>
      </c>
      <c r="C9" s="27">
        <f>+'&gt;&gt;LP Modelo '!H83</f>
        <v>11471136.880000001</v>
      </c>
      <c r="D9" s="27">
        <f>+'&gt;&gt;LP Modelo '!J83</f>
        <v>11071075.731840042</v>
      </c>
      <c r="E9" s="27">
        <f>+'&gt;&gt;LP Modelo '!K83</f>
        <v>11872086.24924889</v>
      </c>
      <c r="F9" s="27">
        <f>+'&gt;&gt;LP Modelo '!L83</f>
        <v>12890265.025078464</v>
      </c>
      <c r="G9" s="27">
        <f>+'&gt;&gt;LP Modelo '!M83</f>
        <v>14103099.535816887</v>
      </c>
      <c r="H9" s="27">
        <f>+'&gt;&gt;LP Modelo '!N83</f>
        <v>15475313.22524038</v>
      </c>
    </row>
    <row r="10" spans="2:8" s="49" customFormat="1" ht="15" outlineLevel="1" x14ac:dyDescent="0.25">
      <c r="B10" s="151" t="s">
        <v>127</v>
      </c>
      <c r="C10" s="5">
        <f t="shared" ref="C10:H10" si="0">+C8+C9</f>
        <v>27486025.190000001</v>
      </c>
      <c r="D10" s="5">
        <f t="shared" si="0"/>
        <v>25075888.123773377</v>
      </c>
      <c r="E10" s="5">
        <f t="shared" si="0"/>
        <v>27235559.261967223</v>
      </c>
      <c r="F10" s="5">
        <f t="shared" si="0"/>
        <v>29790471.005432058</v>
      </c>
      <c r="G10" s="5">
        <f t="shared" si="0"/>
        <v>32749034.034463875</v>
      </c>
      <c r="H10" s="5">
        <f t="shared" si="0"/>
        <v>36113185.279165775</v>
      </c>
    </row>
    <row r="11" spans="2:8" s="80" customFormat="1" ht="15" outlineLevel="1" x14ac:dyDescent="0.25">
      <c r="B11" s="79" t="s">
        <v>130</v>
      </c>
      <c r="C11" s="39"/>
      <c r="D11" s="135">
        <v>0</v>
      </c>
      <c r="E11" s="7">
        <f t="shared" ref="E11" si="1">+$D$11</f>
        <v>0</v>
      </c>
      <c r="F11" s="7">
        <f t="shared" ref="F11" si="2">+$D$11</f>
        <v>0</v>
      </c>
      <c r="G11" s="7">
        <f t="shared" ref="G11:H11" si="3">+$D$11</f>
        <v>0</v>
      </c>
      <c r="H11" s="7">
        <f t="shared" si="3"/>
        <v>0</v>
      </c>
    </row>
    <row r="12" spans="2:8" x14ac:dyDescent="0.2">
      <c r="B12" s="35" t="s">
        <v>108</v>
      </c>
      <c r="C12" s="3"/>
      <c r="D12" s="3">
        <f>+D10*D11</f>
        <v>0</v>
      </c>
      <c r="E12" s="3">
        <f>+E10*E11</f>
        <v>0</v>
      </c>
      <c r="F12" s="3">
        <f>+F10*F11</f>
        <v>0</v>
      </c>
      <c r="G12" s="3">
        <f>+G10*G11</f>
        <v>0</v>
      </c>
      <c r="H12" s="3">
        <f>+H10*H11</f>
        <v>0</v>
      </c>
    </row>
    <row r="13" spans="2:8" x14ac:dyDescent="0.2">
      <c r="B13" s="35" t="s">
        <v>109</v>
      </c>
      <c r="C13" s="3"/>
      <c r="D13" s="3">
        <v>0</v>
      </c>
      <c r="E13" s="3">
        <v>0</v>
      </c>
      <c r="F13" s="3">
        <v>0</v>
      </c>
      <c r="G13" s="3">
        <v>0</v>
      </c>
      <c r="H13" s="3">
        <v>0</v>
      </c>
    </row>
    <row r="14" spans="2:8" x14ac:dyDescent="0.2">
      <c r="B14" s="35" t="s">
        <v>110</v>
      </c>
      <c r="C14" s="3"/>
      <c r="D14" s="3">
        <f>+D24</f>
        <v>0</v>
      </c>
      <c r="E14" s="3">
        <f>+E24</f>
        <v>0</v>
      </c>
      <c r="F14" s="3">
        <f>+F24</f>
        <v>0</v>
      </c>
      <c r="G14" s="3">
        <f>+G24</f>
        <v>0</v>
      </c>
      <c r="H14" s="3">
        <f>+H24</f>
        <v>0</v>
      </c>
    </row>
    <row r="15" spans="2:8" x14ac:dyDescent="0.2">
      <c r="B15" s="35"/>
      <c r="C15" s="3"/>
      <c r="D15" s="3"/>
      <c r="E15" s="3"/>
      <c r="F15" s="3"/>
      <c r="G15" s="3"/>
      <c r="H15" s="3"/>
    </row>
    <row r="16" spans="2:8" x14ac:dyDescent="0.2">
      <c r="B16" s="35" t="s">
        <v>92</v>
      </c>
      <c r="C16" s="3">
        <f>+'&gt;&gt;LP Modelo '!H13</f>
        <v>79865693.840000004</v>
      </c>
      <c r="D16" s="3">
        <f>+'&gt;&gt;LP Modelo '!J13</f>
        <v>112038499.13546668</v>
      </c>
      <c r="E16" s="3">
        <f>+'&gt;&gt;LP Modelo '!K13</f>
        <v>122907784.10174665</v>
      </c>
      <c r="F16" s="3">
        <f>+'&gt;&gt;LP Modelo '!L13</f>
        <v>135201647.84282875</v>
      </c>
      <c r="G16" s="3">
        <f>+'&gt;&gt;LP Modelo '!M13</f>
        <v>149167475.98917592</v>
      </c>
      <c r="H16" s="3">
        <f>+'&gt;&gt;LP Modelo '!N13</f>
        <v>165102976.43140313</v>
      </c>
    </row>
    <row r="17" spans="2:8" x14ac:dyDescent="0.2">
      <c r="B17" s="34" t="s">
        <v>129</v>
      </c>
      <c r="C17" s="50">
        <f>+C7/C16</f>
        <v>0</v>
      </c>
      <c r="D17" s="50">
        <f t="shared" ref="D17" si="4">+D7/D16</f>
        <v>0</v>
      </c>
      <c r="E17" s="50">
        <f t="shared" ref="E17" si="5">+E7/E16</f>
        <v>0</v>
      </c>
      <c r="F17" s="50">
        <f t="shared" ref="F17" si="6">+F7/F16</f>
        <v>0</v>
      </c>
      <c r="G17" s="50">
        <f t="shared" ref="G17" si="7">+G7/G16</f>
        <v>0</v>
      </c>
      <c r="H17" s="50">
        <f t="shared" ref="H17" si="8">+H7/H16</f>
        <v>0</v>
      </c>
    </row>
    <row r="18" spans="2:8" x14ac:dyDescent="0.2">
      <c r="B18" s="34" t="s">
        <v>51</v>
      </c>
      <c r="C18" s="3">
        <f>+'&gt;&gt;LP Modelo '!H54</f>
        <v>597719.59999998799</v>
      </c>
      <c r="D18" s="3">
        <f>+'&gt;&gt;LP Modelo '!J54</f>
        <v>55029.90753759144</v>
      </c>
      <c r="E18" s="3">
        <f>+'&gt;&gt;LP Modelo '!K54</f>
        <v>2804666.0261402274</v>
      </c>
      <c r="F18" s="3">
        <f>+'&gt;&gt;LP Modelo '!L54</f>
        <v>4751149.8154077409</v>
      </c>
      <c r="G18" s="3">
        <f>+'&gt;&gt;LP Modelo '!M54</f>
        <v>6601360.2506778361</v>
      </c>
      <c r="H18" s="3">
        <f>+'&gt;&gt;LP Modelo '!N54</f>
        <v>8653334.7552968692</v>
      </c>
    </row>
    <row r="19" spans="2:8" x14ac:dyDescent="0.2">
      <c r="B19" s="34" t="s">
        <v>113</v>
      </c>
      <c r="C19" s="74">
        <f>+C7/C18</f>
        <v>0</v>
      </c>
      <c r="D19" s="152">
        <f t="shared" ref="D19" si="9">+D7/D18</f>
        <v>0</v>
      </c>
      <c r="E19" s="152">
        <f t="shared" ref="E19" si="10">+E7/E18</f>
        <v>0</v>
      </c>
      <c r="F19" s="152">
        <f t="shared" ref="F19" si="11">+F7/F18</f>
        <v>0</v>
      </c>
      <c r="G19" s="152">
        <f t="shared" ref="G19" si="12">+G7/G18</f>
        <v>0</v>
      </c>
      <c r="H19" s="152">
        <f t="shared" ref="H19" si="13">+H7/H18</f>
        <v>0</v>
      </c>
    </row>
    <row r="20" spans="2:8" x14ac:dyDescent="0.2">
      <c r="C20" s="3"/>
      <c r="D20" s="3"/>
      <c r="E20" s="3"/>
      <c r="F20" s="3"/>
      <c r="G20" s="3"/>
      <c r="H20" s="3"/>
    </row>
    <row r="21" spans="2:8" x14ac:dyDescent="0.2">
      <c r="C21" s="3"/>
      <c r="D21" s="3"/>
      <c r="E21" s="3"/>
      <c r="F21" s="3"/>
      <c r="G21" s="3"/>
      <c r="H21" s="3"/>
    </row>
    <row r="22" spans="2:8" x14ac:dyDescent="0.2">
      <c r="B22" s="35" t="s">
        <v>111</v>
      </c>
      <c r="C22" s="3"/>
      <c r="D22" s="50">
        <v>0.12</v>
      </c>
      <c r="E22" s="50">
        <f>+D22</f>
        <v>0.12</v>
      </c>
      <c r="F22" s="50">
        <f t="shared" ref="F22:H22" si="14">+E22</f>
        <v>0.12</v>
      </c>
      <c r="G22" s="50">
        <f t="shared" si="14"/>
        <v>0.12</v>
      </c>
      <c r="H22" s="50">
        <f t="shared" si="14"/>
        <v>0.12</v>
      </c>
    </row>
    <row r="23" spans="2:8" x14ac:dyDescent="0.2">
      <c r="B23" s="35" t="s">
        <v>112</v>
      </c>
      <c r="C23" s="3"/>
      <c r="D23" s="3">
        <f>+D7</f>
        <v>0</v>
      </c>
      <c r="E23" s="3">
        <f>+E7</f>
        <v>0</v>
      </c>
      <c r="F23" s="3">
        <f>+F7</f>
        <v>0</v>
      </c>
      <c r="G23" s="3">
        <f>+G7</f>
        <v>0</v>
      </c>
      <c r="H23" s="3">
        <f>+H7</f>
        <v>0</v>
      </c>
    </row>
    <row r="24" spans="2:8" x14ac:dyDescent="0.2">
      <c r="B24" s="320" t="s">
        <v>110</v>
      </c>
      <c r="C24" s="5"/>
      <c r="D24" s="5">
        <f>+D23*D22</f>
        <v>0</v>
      </c>
      <c r="E24" s="5">
        <f>+E23*E22</f>
        <v>0</v>
      </c>
      <c r="F24" s="5">
        <f>+F23*F22</f>
        <v>0</v>
      </c>
      <c r="G24" s="5">
        <f>+G23*G22</f>
        <v>0</v>
      </c>
      <c r="H24" s="5">
        <f>+H23*H22</f>
        <v>0</v>
      </c>
    </row>
    <row r="25" spans="2:8" x14ac:dyDescent="0.2">
      <c r="B25" s="35"/>
      <c r="C25" s="3"/>
      <c r="D25" s="3"/>
      <c r="E25" s="3"/>
      <c r="F25" s="3"/>
      <c r="G25" s="3"/>
      <c r="H25" s="3"/>
    </row>
    <row r="26" spans="2:8" x14ac:dyDescent="0.2">
      <c r="B26" s="35"/>
      <c r="C26" s="3"/>
      <c r="D26" s="3"/>
      <c r="E26" s="3"/>
      <c r="F26" s="3"/>
      <c r="G26" s="3"/>
      <c r="H26" s="3"/>
    </row>
    <row r="27" spans="2:8" x14ac:dyDescent="0.2">
      <c r="B27" s="34"/>
      <c r="C27" s="3"/>
      <c r="D27" s="3"/>
      <c r="E27" s="3"/>
      <c r="F27" s="3"/>
      <c r="G27" s="3"/>
      <c r="H27" s="3"/>
    </row>
    <row r="28" spans="2:8" x14ac:dyDescent="0.2">
      <c r="C28" s="3"/>
      <c r="D28" s="3"/>
      <c r="E28" s="3"/>
      <c r="F28" s="3"/>
      <c r="G28" s="3"/>
      <c r="H28" s="3"/>
    </row>
    <row r="29" spans="2:8" x14ac:dyDescent="0.2">
      <c r="C29" s="3"/>
      <c r="D29" s="3"/>
      <c r="E29" s="3"/>
      <c r="F29" s="3"/>
      <c r="G29" s="3"/>
      <c r="H29" s="3"/>
    </row>
    <row r="30" spans="2:8" x14ac:dyDescent="0.2">
      <c r="C30" s="3"/>
      <c r="D30" s="3"/>
      <c r="E30" s="3"/>
      <c r="F30" s="3"/>
      <c r="G30" s="3"/>
      <c r="H30" s="3"/>
    </row>
    <row r="31" spans="2:8" x14ac:dyDescent="0.2">
      <c r="C31" s="3"/>
      <c r="D31" s="3"/>
      <c r="E31" s="3"/>
      <c r="F31" s="3"/>
      <c r="G31" s="3"/>
      <c r="H31" s="3"/>
    </row>
    <row r="32" spans="2:8" x14ac:dyDescent="0.2">
      <c r="C32" s="3"/>
      <c r="D32" s="3"/>
      <c r="E32" s="3"/>
      <c r="F32" s="3"/>
      <c r="G32" s="3"/>
      <c r="H32" s="3"/>
    </row>
    <row r="33" spans="3:8" x14ac:dyDescent="0.2">
      <c r="C33" s="3"/>
      <c r="D33" s="3"/>
      <c r="E33" s="3"/>
      <c r="F33" s="3"/>
      <c r="G33" s="3"/>
      <c r="H33" s="3"/>
    </row>
    <row r="34" spans="3:8" x14ac:dyDescent="0.2">
      <c r="C34" s="3"/>
      <c r="D34" s="3"/>
      <c r="E34" s="3"/>
      <c r="F34" s="3"/>
      <c r="G34" s="3"/>
      <c r="H34" s="3"/>
    </row>
    <row r="35" spans="3:8" x14ac:dyDescent="0.2">
      <c r="C35" s="3"/>
      <c r="D35" s="3"/>
      <c r="E35" s="3"/>
      <c r="F35" s="3"/>
      <c r="G35" s="3"/>
      <c r="H35" s="3"/>
    </row>
    <row r="36" spans="3:8" x14ac:dyDescent="0.2">
      <c r="C36" s="3"/>
      <c r="D36" s="3"/>
      <c r="E36" s="3"/>
      <c r="F36" s="3"/>
      <c r="G36" s="3"/>
      <c r="H36" s="3"/>
    </row>
    <row r="37" spans="3:8" x14ac:dyDescent="0.2">
      <c r="C37" s="3"/>
      <c r="D37" s="3"/>
      <c r="E37" s="3"/>
      <c r="F37" s="3"/>
      <c r="G37" s="3"/>
      <c r="H37" s="3"/>
    </row>
    <row r="38" spans="3:8" x14ac:dyDescent="0.2">
      <c r="C38" s="3"/>
      <c r="D38" s="3"/>
      <c r="E38" s="3"/>
      <c r="F38" s="3"/>
      <c r="G38" s="3"/>
      <c r="H38" s="3"/>
    </row>
    <row r="39" spans="3:8" x14ac:dyDescent="0.2">
      <c r="C39" s="3"/>
      <c r="D39" s="3"/>
      <c r="E39" s="3"/>
      <c r="F39" s="3"/>
      <c r="G39" s="3"/>
      <c r="H39" s="3"/>
    </row>
    <row r="40" spans="3:8" x14ac:dyDescent="0.2">
      <c r="C40" s="3"/>
      <c r="D40" s="3"/>
      <c r="E40" s="3"/>
      <c r="F40" s="3"/>
      <c r="G40" s="3"/>
      <c r="H40" s="3"/>
    </row>
    <row r="41" spans="3:8" x14ac:dyDescent="0.2">
      <c r="C41" s="3"/>
      <c r="D41" s="3"/>
      <c r="E41" s="3"/>
      <c r="F41" s="3"/>
      <c r="G41" s="3"/>
      <c r="H41" s="3"/>
    </row>
    <row r="42" spans="3:8" x14ac:dyDescent="0.2">
      <c r="C42" s="3"/>
      <c r="D42" s="3"/>
      <c r="E42" s="3"/>
      <c r="F42" s="3"/>
      <c r="G42" s="3"/>
      <c r="H42" s="3"/>
    </row>
    <row r="43" spans="3:8" x14ac:dyDescent="0.2">
      <c r="C43" s="3"/>
      <c r="D43" s="3"/>
      <c r="E43" s="3"/>
      <c r="F43" s="3"/>
      <c r="G43" s="3"/>
      <c r="H43" s="3"/>
    </row>
    <row r="44" spans="3:8" x14ac:dyDescent="0.2">
      <c r="C44" s="3"/>
      <c r="D44" s="3"/>
      <c r="E44" s="3"/>
      <c r="F44" s="3"/>
      <c r="G44" s="3"/>
      <c r="H44" s="3"/>
    </row>
    <row r="45" spans="3:8" x14ac:dyDescent="0.2">
      <c r="C45" s="3"/>
      <c r="D45" s="3"/>
      <c r="E45" s="3"/>
      <c r="F45" s="3"/>
      <c r="G45" s="3"/>
      <c r="H45" s="3"/>
    </row>
    <row r="46" spans="3:8" x14ac:dyDescent="0.2">
      <c r="C46" s="3"/>
      <c r="D46" s="3"/>
      <c r="E46" s="3"/>
      <c r="F46" s="3"/>
      <c r="G46" s="3"/>
      <c r="H46" s="3"/>
    </row>
    <row r="47" spans="3:8" x14ac:dyDescent="0.2">
      <c r="C47" s="3"/>
      <c r="D47" s="3"/>
      <c r="E47" s="3"/>
      <c r="F47" s="3"/>
      <c r="G47" s="3"/>
      <c r="H47" s="3"/>
    </row>
    <row r="48" spans="3:8" x14ac:dyDescent="0.2">
      <c r="C48" s="3"/>
      <c r="D48" s="3"/>
      <c r="E48" s="3"/>
      <c r="F48" s="3"/>
      <c r="G48" s="3"/>
      <c r="H48" s="3"/>
    </row>
    <row r="49" spans="3:8" x14ac:dyDescent="0.2">
      <c r="C49" s="3"/>
      <c r="D49" s="3"/>
      <c r="E49" s="3"/>
      <c r="F49" s="3"/>
      <c r="G49" s="3"/>
      <c r="H49" s="3"/>
    </row>
    <row r="50" spans="3:8" x14ac:dyDescent="0.2">
      <c r="C50" s="3"/>
      <c r="D50" s="3"/>
      <c r="E50" s="3"/>
      <c r="F50" s="3"/>
      <c r="G50" s="3"/>
      <c r="H50" s="3"/>
    </row>
    <row r="51" spans="3:8" x14ac:dyDescent="0.2">
      <c r="C51" s="3"/>
      <c r="D51" s="3"/>
      <c r="E51" s="3"/>
      <c r="F51" s="3"/>
      <c r="G51" s="3"/>
      <c r="H51" s="3"/>
    </row>
    <row r="52" spans="3:8" x14ac:dyDescent="0.2">
      <c r="C52" s="3"/>
      <c r="D52" s="3"/>
      <c r="E52" s="3"/>
      <c r="F52" s="3"/>
      <c r="G52" s="3"/>
      <c r="H52" s="3"/>
    </row>
    <row r="53" spans="3:8" x14ac:dyDescent="0.2">
      <c r="C53" s="3"/>
      <c r="D53" s="3"/>
      <c r="E53" s="3"/>
      <c r="F53" s="3"/>
      <c r="G53" s="3"/>
      <c r="H53" s="3"/>
    </row>
    <row r="54" spans="3:8" x14ac:dyDescent="0.2">
      <c r="C54" s="3"/>
      <c r="D54" s="3"/>
      <c r="E54" s="3"/>
      <c r="F54" s="3"/>
      <c r="G54" s="3"/>
      <c r="H54" s="3"/>
    </row>
    <row r="55" spans="3:8" x14ac:dyDescent="0.2">
      <c r="C55" s="3"/>
      <c r="D55" s="3"/>
      <c r="E55" s="3"/>
      <c r="F55" s="3"/>
      <c r="G55" s="3"/>
      <c r="H55" s="3"/>
    </row>
    <row r="56" spans="3:8" x14ac:dyDescent="0.2">
      <c r="C56" s="3"/>
      <c r="D56" s="3"/>
      <c r="E56" s="3"/>
      <c r="F56" s="3"/>
      <c r="G56" s="3"/>
      <c r="H56" s="3"/>
    </row>
    <row r="57" spans="3:8" x14ac:dyDescent="0.2">
      <c r="C57" s="3"/>
      <c r="D57" s="3"/>
      <c r="E57" s="3"/>
      <c r="F57" s="3"/>
      <c r="G57" s="3"/>
      <c r="H57" s="3"/>
    </row>
    <row r="58" spans="3:8" x14ac:dyDescent="0.2">
      <c r="C58" s="3"/>
      <c r="D58" s="3"/>
      <c r="E58" s="3"/>
      <c r="F58" s="3"/>
      <c r="G58" s="3"/>
      <c r="H58" s="3"/>
    </row>
    <row r="59" spans="3:8" x14ac:dyDescent="0.2">
      <c r="C59" s="3"/>
      <c r="D59" s="3"/>
      <c r="E59" s="3"/>
      <c r="F59" s="3"/>
      <c r="G59" s="3"/>
      <c r="H59" s="3"/>
    </row>
    <row r="60" spans="3:8" x14ac:dyDescent="0.2">
      <c r="C60" s="3"/>
      <c r="D60" s="3"/>
      <c r="E60" s="3"/>
      <c r="F60" s="3"/>
      <c r="G60" s="3"/>
      <c r="H60" s="3"/>
    </row>
    <row r="61" spans="3:8" x14ac:dyDescent="0.2">
      <c r="C61" s="3"/>
      <c r="D61" s="3"/>
      <c r="E61" s="3"/>
      <c r="F61" s="3"/>
      <c r="G61" s="3"/>
      <c r="H61" s="3"/>
    </row>
    <row r="62" spans="3:8" x14ac:dyDescent="0.2">
      <c r="C62" s="3"/>
      <c r="D62" s="3"/>
      <c r="E62" s="3"/>
      <c r="F62" s="3"/>
      <c r="G62" s="3"/>
      <c r="H62" s="3"/>
    </row>
    <row r="63" spans="3:8" x14ac:dyDescent="0.2">
      <c r="C63" s="3"/>
      <c r="D63" s="3"/>
      <c r="E63" s="3"/>
      <c r="F63" s="3"/>
      <c r="G63" s="3"/>
      <c r="H63" s="3"/>
    </row>
    <row r="64" spans="3:8" x14ac:dyDescent="0.2">
      <c r="C64" s="3"/>
      <c r="D64" s="3"/>
      <c r="E64" s="3"/>
      <c r="F64" s="3"/>
      <c r="G64" s="3"/>
      <c r="H64" s="3"/>
    </row>
    <row r="65" spans="3:8" x14ac:dyDescent="0.2">
      <c r="C65" s="3"/>
      <c r="D65" s="3"/>
      <c r="E65" s="3"/>
      <c r="F65" s="3"/>
      <c r="G65" s="3"/>
      <c r="H65" s="3"/>
    </row>
    <row r="66" spans="3:8" x14ac:dyDescent="0.2">
      <c r="C66" s="3"/>
      <c r="D66" s="3"/>
      <c r="E66" s="3"/>
      <c r="F66" s="3"/>
      <c r="G66" s="3"/>
      <c r="H66" s="3"/>
    </row>
    <row r="67" spans="3:8" x14ac:dyDescent="0.2">
      <c r="C67" s="3"/>
      <c r="D67" s="3"/>
      <c r="E67" s="3"/>
      <c r="F67" s="3"/>
      <c r="G67" s="3"/>
      <c r="H67" s="3"/>
    </row>
    <row r="68" spans="3:8" x14ac:dyDescent="0.2">
      <c r="C68" s="3"/>
      <c r="D68" s="3"/>
      <c r="E68" s="3"/>
      <c r="F68" s="3"/>
      <c r="G68" s="3"/>
      <c r="H68" s="3"/>
    </row>
    <row r="69" spans="3:8" x14ac:dyDescent="0.2">
      <c r="C69" s="3"/>
      <c r="D69" s="3"/>
      <c r="E69" s="3"/>
      <c r="F69" s="3"/>
      <c r="G69" s="3"/>
      <c r="H69" s="3"/>
    </row>
    <row r="70" spans="3:8" x14ac:dyDescent="0.2">
      <c r="C70" s="3"/>
      <c r="D70" s="3"/>
      <c r="E70" s="3"/>
      <c r="F70" s="3"/>
      <c r="G70" s="3"/>
      <c r="H70" s="3"/>
    </row>
    <row r="71" spans="3:8" x14ac:dyDescent="0.2">
      <c r="C71" s="3"/>
      <c r="D71" s="3"/>
      <c r="E71" s="3"/>
      <c r="F71" s="3"/>
      <c r="G71" s="3"/>
      <c r="H71" s="3"/>
    </row>
    <row r="72" spans="3:8" x14ac:dyDescent="0.2">
      <c r="C72" s="3"/>
      <c r="D72" s="3"/>
      <c r="E72" s="3"/>
      <c r="F72" s="3"/>
      <c r="G72" s="3"/>
      <c r="H72" s="3"/>
    </row>
    <row r="73" spans="3:8" x14ac:dyDescent="0.2">
      <c r="C73" s="3"/>
      <c r="D73" s="3"/>
      <c r="E73" s="3"/>
      <c r="F73" s="3"/>
      <c r="G73" s="3"/>
      <c r="H73" s="3"/>
    </row>
    <row r="74" spans="3:8" x14ac:dyDescent="0.2">
      <c r="C74" s="3"/>
      <c r="D74" s="3"/>
      <c r="E74" s="3"/>
      <c r="F74" s="3"/>
      <c r="G74" s="3"/>
      <c r="H74" s="3"/>
    </row>
    <row r="75" spans="3:8" x14ac:dyDescent="0.2">
      <c r="C75" s="3"/>
      <c r="D75" s="3"/>
      <c r="E75" s="3"/>
      <c r="F75" s="3"/>
      <c r="G75" s="3"/>
      <c r="H75" s="3"/>
    </row>
    <row r="76" spans="3:8" x14ac:dyDescent="0.2">
      <c r="C76" s="3"/>
      <c r="D76" s="3"/>
      <c r="E76" s="3"/>
      <c r="F76" s="3"/>
      <c r="G76" s="3"/>
      <c r="H76" s="3"/>
    </row>
    <row r="77" spans="3:8" x14ac:dyDescent="0.2">
      <c r="C77" s="3"/>
      <c r="D77" s="3"/>
      <c r="E77" s="3"/>
      <c r="F77" s="3"/>
      <c r="G77" s="3"/>
      <c r="H77" s="3"/>
    </row>
    <row r="78" spans="3:8" x14ac:dyDescent="0.2">
      <c r="C78" s="3"/>
      <c r="D78" s="3"/>
      <c r="E78" s="3"/>
      <c r="F78" s="3"/>
      <c r="G78" s="3"/>
      <c r="H78" s="3"/>
    </row>
    <row r="79" spans="3:8" x14ac:dyDescent="0.2">
      <c r="C79" s="3"/>
      <c r="D79" s="3"/>
      <c r="E79" s="3"/>
      <c r="F79" s="3"/>
      <c r="G79" s="3"/>
      <c r="H79" s="3"/>
    </row>
    <row r="80" spans="3:8" x14ac:dyDescent="0.2">
      <c r="C80" s="3"/>
      <c r="D80" s="3"/>
      <c r="E80" s="3"/>
      <c r="F80" s="3"/>
      <c r="G80" s="3"/>
      <c r="H80" s="3"/>
    </row>
    <row r="81" spans="3:8" x14ac:dyDescent="0.2">
      <c r="C81" s="3"/>
      <c r="D81" s="3"/>
      <c r="E81" s="3"/>
      <c r="F81" s="3"/>
      <c r="G81" s="3"/>
      <c r="H81" s="3"/>
    </row>
    <row r="82" spans="3:8" x14ac:dyDescent="0.2">
      <c r="C82" s="3"/>
      <c r="D82" s="3"/>
      <c r="E82" s="3"/>
      <c r="F82" s="3"/>
      <c r="G82" s="3"/>
      <c r="H82" s="3"/>
    </row>
    <row r="83" spans="3:8" x14ac:dyDescent="0.2">
      <c r="C83" s="3"/>
      <c r="D83" s="3"/>
      <c r="E83" s="3"/>
      <c r="F83" s="3"/>
      <c r="G83" s="3"/>
      <c r="H83" s="3"/>
    </row>
    <row r="84" spans="3:8" x14ac:dyDescent="0.2">
      <c r="C84" s="3"/>
      <c r="D84" s="3"/>
      <c r="E84" s="3"/>
      <c r="F84" s="3"/>
      <c r="G84" s="3"/>
      <c r="H84" s="3"/>
    </row>
    <row r="85" spans="3:8" x14ac:dyDescent="0.2">
      <c r="C85" s="3"/>
      <c r="D85" s="3"/>
      <c r="E85" s="3"/>
      <c r="F85" s="3"/>
      <c r="G85" s="3"/>
      <c r="H85" s="3"/>
    </row>
    <row r="86" spans="3:8" x14ac:dyDescent="0.2">
      <c r="C86" s="3"/>
      <c r="D86" s="3"/>
      <c r="E86" s="3"/>
      <c r="F86" s="3"/>
      <c r="G86" s="3"/>
      <c r="H86" s="3"/>
    </row>
    <row r="87" spans="3:8" x14ac:dyDescent="0.2">
      <c r="C87" s="3"/>
      <c r="D87" s="3"/>
      <c r="E87" s="3"/>
      <c r="F87" s="3"/>
      <c r="G87" s="3"/>
      <c r="H87" s="3"/>
    </row>
    <row r="88" spans="3:8" x14ac:dyDescent="0.2">
      <c r="C88" s="3"/>
      <c r="D88" s="3"/>
      <c r="E88" s="3"/>
      <c r="F88" s="3"/>
      <c r="G88" s="3"/>
      <c r="H88" s="3"/>
    </row>
    <row r="89" spans="3:8" x14ac:dyDescent="0.2">
      <c r="C89" s="3"/>
      <c r="D89" s="3"/>
      <c r="E89" s="3"/>
      <c r="F89" s="3"/>
      <c r="G89" s="3"/>
      <c r="H89" s="3"/>
    </row>
    <row r="90" spans="3:8" x14ac:dyDescent="0.2">
      <c r="C90" s="3"/>
      <c r="D90" s="3"/>
      <c r="E90" s="3"/>
      <c r="F90" s="3"/>
      <c r="G90" s="3"/>
      <c r="H90" s="3"/>
    </row>
    <row r="91" spans="3:8" x14ac:dyDescent="0.2">
      <c r="C91" s="3"/>
      <c r="D91" s="3"/>
      <c r="E91" s="3"/>
      <c r="F91" s="3"/>
      <c r="G91" s="3"/>
      <c r="H91" s="3"/>
    </row>
    <row r="92" spans="3:8" x14ac:dyDescent="0.2">
      <c r="C92" s="3"/>
      <c r="D92" s="3"/>
      <c r="E92" s="3"/>
      <c r="F92" s="3"/>
      <c r="G92" s="3"/>
      <c r="H92" s="3"/>
    </row>
    <row r="93" spans="3:8" x14ac:dyDescent="0.2">
      <c r="C93" s="3"/>
      <c r="D93" s="3"/>
      <c r="E93" s="3"/>
      <c r="F93" s="3"/>
      <c r="G93" s="3"/>
      <c r="H93" s="3"/>
    </row>
    <row r="94" spans="3:8" x14ac:dyDescent="0.2">
      <c r="C94" s="3"/>
      <c r="D94" s="3"/>
      <c r="E94" s="3"/>
      <c r="F94" s="3"/>
      <c r="G94" s="3"/>
      <c r="H94" s="3"/>
    </row>
    <row r="95" spans="3:8" x14ac:dyDescent="0.2">
      <c r="C95" s="3"/>
      <c r="D95" s="3"/>
      <c r="E95" s="3"/>
      <c r="F95" s="3"/>
      <c r="G95" s="3"/>
      <c r="H95" s="3"/>
    </row>
    <row r="96" spans="3:8" x14ac:dyDescent="0.2">
      <c r="C96" s="3"/>
      <c r="D96" s="3"/>
      <c r="E96" s="3"/>
      <c r="F96" s="3"/>
      <c r="G96" s="3"/>
      <c r="H96" s="3"/>
    </row>
    <row r="97" spans="3:8" x14ac:dyDescent="0.2">
      <c r="C97" s="3"/>
      <c r="D97" s="3"/>
      <c r="E97" s="3"/>
      <c r="F97" s="3"/>
      <c r="G97" s="3"/>
      <c r="H97" s="3"/>
    </row>
    <row r="98" spans="3:8" x14ac:dyDescent="0.2">
      <c r="C98" s="3"/>
      <c r="D98" s="3"/>
      <c r="E98" s="3"/>
      <c r="F98" s="3"/>
      <c r="G98" s="3"/>
      <c r="H98" s="3"/>
    </row>
    <row r="99" spans="3:8" x14ac:dyDescent="0.2">
      <c r="C99" s="3"/>
      <c r="D99" s="3"/>
      <c r="E99" s="3"/>
      <c r="F99" s="3"/>
      <c r="G99" s="3"/>
      <c r="H99" s="3"/>
    </row>
    <row r="100" spans="3:8" x14ac:dyDescent="0.2">
      <c r="C100" s="3"/>
      <c r="D100" s="3"/>
      <c r="E100" s="3"/>
      <c r="F100" s="3"/>
      <c r="G100" s="3"/>
      <c r="H100" s="3"/>
    </row>
    <row r="101" spans="3:8" x14ac:dyDescent="0.2">
      <c r="C101" s="3"/>
      <c r="D101" s="3"/>
      <c r="E101" s="3"/>
      <c r="F101" s="3"/>
      <c r="G101" s="3"/>
      <c r="H101" s="3"/>
    </row>
    <row r="102" spans="3:8" x14ac:dyDescent="0.2">
      <c r="C102" s="3"/>
      <c r="D102" s="3"/>
      <c r="E102" s="3"/>
      <c r="F102" s="3"/>
      <c r="G102" s="3"/>
      <c r="H102" s="3"/>
    </row>
    <row r="103" spans="3:8" x14ac:dyDescent="0.2">
      <c r="C103" s="3"/>
      <c r="D103" s="3"/>
      <c r="E103" s="3"/>
      <c r="F103" s="3"/>
      <c r="G103" s="3"/>
      <c r="H103" s="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H46"/>
  <sheetViews>
    <sheetView showGridLines="0" workbookViewId="0">
      <pane xSplit="1" ySplit="3" topLeftCell="B4" activePane="bottomRight" state="frozen"/>
      <selection pane="topRight" activeCell="B1" sqref="B1"/>
      <selection pane="bottomLeft" activeCell="A4" sqref="A4"/>
      <selection pane="bottomRight" activeCell="H11" sqref="H11"/>
    </sheetView>
  </sheetViews>
  <sheetFormatPr baseColWidth="10" defaultRowHeight="14.25" x14ac:dyDescent="0.2"/>
  <cols>
    <col min="1" max="1" width="3.625" customWidth="1"/>
    <col min="2" max="2" width="13.375" customWidth="1"/>
    <col min="3" max="3" width="11.125" customWidth="1"/>
    <col min="5" max="5" width="11.75" customWidth="1"/>
    <col min="7" max="7" width="8.625" customWidth="1"/>
    <col min="13" max="13" width="14.25" customWidth="1"/>
    <col min="14" max="14" width="15.25" customWidth="1"/>
  </cols>
  <sheetData>
    <row r="1" spans="2:8" s="191" customFormat="1" ht="15.75" x14ac:dyDescent="0.25">
      <c r="B1" s="188" t="str">
        <f>+'&gt;&gt;LP Modelo '!$B$1</f>
        <v>Lubricantes de la Peninsula, SA de CV</v>
      </c>
      <c r="C1" s="188"/>
    </row>
    <row r="2" spans="2:8" s="191" customFormat="1" ht="15.75" x14ac:dyDescent="0.25">
      <c r="B2" s="188" t="str">
        <f>+'&gt;&gt;LP Modelo '!$B$2</f>
        <v>LP</v>
      </c>
      <c r="C2" s="188"/>
    </row>
    <row r="3" spans="2:8" s="191" customFormat="1" ht="12.6" customHeight="1" x14ac:dyDescent="0.2">
      <c r="B3" s="156" t="s">
        <v>236</v>
      </c>
      <c r="C3" s="156"/>
    </row>
    <row r="4" spans="2:8" ht="5.0999999999999996" customHeight="1" x14ac:dyDescent="0.2"/>
    <row r="5" spans="2:8" ht="25.5" x14ac:dyDescent="0.2">
      <c r="D5" s="81" t="s">
        <v>400</v>
      </c>
      <c r="E5" s="262" t="s">
        <v>245</v>
      </c>
      <c r="F5" s="11" t="s">
        <v>238</v>
      </c>
      <c r="G5" s="11"/>
      <c r="H5" s="273" t="s">
        <v>239</v>
      </c>
    </row>
    <row r="6" spans="2:8" x14ac:dyDescent="0.2">
      <c r="B6" s="264" t="s">
        <v>237</v>
      </c>
      <c r="D6" s="373">
        <f>+$C$25</f>
        <v>0</v>
      </c>
      <c r="E6" s="375">
        <f>+D6/$D$8</f>
        <v>0</v>
      </c>
      <c r="F6" s="375">
        <f>+$E$25*(1-$D$10)</f>
        <v>0</v>
      </c>
      <c r="G6" s="11"/>
      <c r="H6" s="375">
        <f>+E6*F6</f>
        <v>0</v>
      </c>
    </row>
    <row r="7" spans="2:8" x14ac:dyDescent="0.2">
      <c r="B7" s="313" t="s">
        <v>399</v>
      </c>
      <c r="D7" s="373">
        <f>+'&gt;&gt;LP Modelo '!H128/1000</f>
        <v>23038.254159999986</v>
      </c>
      <c r="E7" s="375">
        <f>+D7/$D$8</f>
        <v>1</v>
      </c>
      <c r="F7" s="375">
        <f>+D11+(D14*(D12-D11))</f>
        <v>0.13549316554950822</v>
      </c>
      <c r="G7" s="11"/>
      <c r="H7" s="378">
        <f>+E7*F7</f>
        <v>0.13549316554950822</v>
      </c>
    </row>
    <row r="8" spans="2:8" x14ac:dyDescent="0.2">
      <c r="B8" s="415" t="s">
        <v>230</v>
      </c>
      <c r="C8" s="419"/>
      <c r="D8" s="373">
        <f>+SUM(D6:D7)</f>
        <v>23038.254159999986</v>
      </c>
      <c r="E8" s="375">
        <f>+SUM(E6:E7)</f>
        <v>1</v>
      </c>
      <c r="F8" s="377"/>
      <c r="G8" s="260" t="s">
        <v>246</v>
      </c>
      <c r="H8" s="287">
        <f t="shared" ref="H8" si="0">+SUM(H6:H7)</f>
        <v>0.13549316554950822</v>
      </c>
    </row>
    <row r="9" spans="2:8" s="56" customFormat="1" ht="5.0999999999999996" customHeight="1" x14ac:dyDescent="0.2">
      <c r="B9" s="234"/>
      <c r="C9" s="231"/>
      <c r="D9" s="374"/>
      <c r="E9" s="274"/>
      <c r="F9" s="274"/>
      <c r="G9" s="259"/>
      <c r="H9" s="274"/>
    </row>
    <row r="10" spans="2:8" x14ac:dyDescent="0.2">
      <c r="B10" s="264" t="s">
        <v>247</v>
      </c>
      <c r="D10" s="375">
        <v>0.3</v>
      </c>
      <c r="F10" s="288"/>
      <c r="G10" s="288"/>
      <c r="H10" s="279"/>
    </row>
    <row r="11" spans="2:8" x14ac:dyDescent="0.2">
      <c r="B11" s="264" t="s">
        <v>248</v>
      </c>
      <c r="D11" s="375">
        <f>+C36</f>
        <v>4.5769479166666668E-2</v>
      </c>
      <c r="F11" s="288" t="s">
        <v>88</v>
      </c>
      <c r="H11" s="279">
        <v>1.4500000000000001E-2</v>
      </c>
    </row>
    <row r="12" spans="2:8" x14ac:dyDescent="0.2">
      <c r="B12" s="264" t="s">
        <v>250</v>
      </c>
      <c r="D12" s="375">
        <f>+F36</f>
        <v>0.19500000000000001</v>
      </c>
      <c r="H12" s="279"/>
    </row>
    <row r="13" spans="2:8" x14ac:dyDescent="0.2">
      <c r="B13" s="265" t="s">
        <v>262</v>
      </c>
      <c r="D13" s="375">
        <f>+D12-D11</f>
        <v>0.14923052083333332</v>
      </c>
      <c r="G13" s="11"/>
    </row>
    <row r="14" spans="2:8" ht="18.75" customHeight="1" x14ac:dyDescent="0.2">
      <c r="B14" s="265" t="str">
        <f>+CONCATENATE("Beta (ß) ",$B$2)</f>
        <v>Beta (ß) LP</v>
      </c>
      <c r="D14" s="376">
        <f>+H46</f>
        <v>0.60124219818979652</v>
      </c>
      <c r="F14" s="263" t="s">
        <v>246</v>
      </c>
      <c r="G14" s="263" t="s">
        <v>266</v>
      </c>
      <c r="H14" s="411">
        <f>+H8+SUM(H10:H13)</f>
        <v>0.14999316554950823</v>
      </c>
    </row>
    <row r="15" spans="2:8" x14ac:dyDescent="0.2">
      <c r="B15" s="265" t="s">
        <v>263</v>
      </c>
      <c r="D15" s="375">
        <f>+E25</f>
        <v>0</v>
      </c>
    </row>
    <row r="16" spans="2:8" x14ac:dyDescent="0.2">
      <c r="B16" s="264" t="s">
        <v>264</v>
      </c>
      <c r="D16" s="375">
        <f>+D11+(D14*(D12-D11))</f>
        <v>0.13549316554950822</v>
      </c>
    </row>
    <row r="18" spans="1:6" ht="15" x14ac:dyDescent="0.2">
      <c r="A18" t="s">
        <v>132</v>
      </c>
      <c r="B18" s="277" t="s">
        <v>263</v>
      </c>
      <c r="C18" s="277"/>
      <c r="D18" s="277"/>
    </row>
    <row r="19" spans="1:6" ht="15" x14ac:dyDescent="0.2">
      <c r="B19" s="269" t="s">
        <v>377</v>
      </c>
      <c r="C19" s="269" t="s">
        <v>243</v>
      </c>
      <c r="D19" s="269" t="s">
        <v>244</v>
      </c>
      <c r="E19" s="262" t="s">
        <v>100</v>
      </c>
    </row>
    <row r="20" spans="1:6" hidden="1" x14ac:dyDescent="0.2">
      <c r="B20" s="266" t="s">
        <v>240</v>
      </c>
      <c r="C20" s="238"/>
      <c r="D20" s="270"/>
      <c r="E20" s="275" t="str">
        <f>IF(C20=0,"",C20/$C$25)</f>
        <v/>
      </c>
    </row>
    <row r="21" spans="1:6" hidden="1" x14ac:dyDescent="0.2">
      <c r="B21" s="266" t="s">
        <v>241</v>
      </c>
      <c r="C21" s="238"/>
      <c r="D21" s="270"/>
      <c r="E21" s="275" t="str">
        <f t="shared" ref="E21:E22" si="1">IF(C21=0,"",C21/$C$25)</f>
        <v/>
      </c>
    </row>
    <row r="22" spans="1:6" hidden="1" x14ac:dyDescent="0.2">
      <c r="B22" s="266" t="s">
        <v>242</v>
      </c>
      <c r="C22" s="238"/>
      <c r="D22" s="270"/>
      <c r="E22" s="275" t="str">
        <f t="shared" si="1"/>
        <v/>
      </c>
    </row>
    <row r="23" spans="1:6" x14ac:dyDescent="0.2">
      <c r="B23" s="268"/>
      <c r="C23" s="240"/>
      <c r="D23" s="271"/>
      <c r="E23" s="136"/>
    </row>
    <row r="24" spans="1:6" ht="5.0999999999999996" customHeight="1" x14ac:dyDescent="0.2">
      <c r="B24" s="266"/>
      <c r="C24" s="238"/>
      <c r="D24" s="270"/>
    </row>
    <row r="25" spans="1:6" x14ac:dyDescent="0.2">
      <c r="B25" s="267" t="s">
        <v>230</v>
      </c>
      <c r="C25" s="239">
        <f>+SUM(C20:C22)</f>
        <v>0</v>
      </c>
      <c r="D25" s="272" t="s">
        <v>249</v>
      </c>
      <c r="E25" s="286">
        <f>IF(C25=0,0,SUMPRODUCT($D$20:$D$23,$E$20:$E$23))</f>
        <v>0</v>
      </c>
    </row>
    <row r="27" spans="1:6" ht="15" x14ac:dyDescent="0.2">
      <c r="A27" t="s">
        <v>132</v>
      </c>
      <c r="B27" s="277" t="s">
        <v>264</v>
      </c>
      <c r="C27" s="277"/>
      <c r="D27" s="277"/>
    </row>
    <row r="28" spans="1:6" ht="5.0999999999999996" customHeight="1" x14ac:dyDescent="0.2"/>
    <row r="29" spans="1:6" ht="15" x14ac:dyDescent="0.2">
      <c r="B29" s="277" t="s">
        <v>252</v>
      </c>
      <c r="C29" s="187"/>
      <c r="E29" s="277" t="s">
        <v>258</v>
      </c>
      <c r="F29" s="187"/>
    </row>
    <row r="30" spans="1:6" ht="5.0999999999999996" customHeight="1" x14ac:dyDescent="0.2">
      <c r="B30" s="264"/>
      <c r="E30" s="264"/>
    </row>
    <row r="31" spans="1:6" x14ac:dyDescent="0.2">
      <c r="B31" s="264" t="s">
        <v>253</v>
      </c>
      <c r="C31" s="279">
        <v>5.4283333333333343E-2</v>
      </c>
      <c r="E31" s="264" t="s">
        <v>253</v>
      </c>
      <c r="F31" s="279">
        <v>0.44</v>
      </c>
    </row>
    <row r="32" spans="1:6" x14ac:dyDescent="0.2">
      <c r="B32" s="265" t="s">
        <v>254</v>
      </c>
      <c r="C32" s="279">
        <v>4.4025000000000002E-2</v>
      </c>
      <c r="E32" s="265" t="s">
        <v>254</v>
      </c>
      <c r="F32" s="279">
        <v>0.2</v>
      </c>
    </row>
    <row r="33" spans="1:8" x14ac:dyDescent="0.2">
      <c r="B33" s="264" t="s">
        <v>255</v>
      </c>
      <c r="C33" s="279">
        <v>4.2399999999999993E-2</v>
      </c>
      <c r="E33" s="264" t="s">
        <v>255</v>
      </c>
      <c r="F33" s="279">
        <v>-0.04</v>
      </c>
    </row>
    <row r="34" spans="1:8" x14ac:dyDescent="0.2">
      <c r="B34" s="264" t="s">
        <v>256</v>
      </c>
      <c r="C34" s="279">
        <v>4.2369583333333342E-2</v>
      </c>
      <c r="E34" s="264" t="s">
        <v>256</v>
      </c>
      <c r="F34" s="279">
        <v>0.18</v>
      </c>
    </row>
    <row r="35" spans="1:8" ht="5.0999999999999996" customHeight="1" x14ac:dyDescent="0.2">
      <c r="B35" s="264"/>
      <c r="E35" s="264"/>
    </row>
    <row r="36" spans="1:8" x14ac:dyDescent="0.2">
      <c r="B36" s="280" t="s">
        <v>257</v>
      </c>
      <c r="C36" s="276">
        <f>+AVERAGE(C31:C34)</f>
        <v>4.5769479166666668E-2</v>
      </c>
      <c r="E36" s="280" t="s">
        <v>257</v>
      </c>
      <c r="F36" s="276">
        <f>+AVERAGE(F31:F34)</f>
        <v>0.19500000000000001</v>
      </c>
    </row>
    <row r="38" spans="1:8" ht="15" x14ac:dyDescent="0.2">
      <c r="A38" t="s">
        <v>132</v>
      </c>
      <c r="B38" s="277" t="s">
        <v>251</v>
      </c>
      <c r="C38" s="187"/>
    </row>
    <row r="39" spans="1:8" ht="22.5" x14ac:dyDescent="0.2">
      <c r="B39" s="420" t="s">
        <v>259</v>
      </c>
      <c r="C39" s="420"/>
      <c r="D39" s="261" t="s">
        <v>251</v>
      </c>
      <c r="E39" s="283" t="s">
        <v>261</v>
      </c>
      <c r="F39" s="282" t="s">
        <v>260</v>
      </c>
      <c r="G39" s="283" t="str">
        <f>+CONCATENATE(" D / E              ",$B$2 )</f>
        <v xml:space="preserve"> D / E              LP</v>
      </c>
      <c r="H39" s="283" t="str">
        <f>+CONCATENATE(" ß Apalancada              ",$B$2 )</f>
        <v xml:space="preserve"> ß Apalancada              LP</v>
      </c>
    </row>
    <row r="40" spans="1:8" ht="5.0999999999999996" customHeight="1" x14ac:dyDescent="0.2"/>
    <row r="41" spans="1:8" x14ac:dyDescent="0.2">
      <c r="B41" s="321" t="s">
        <v>402</v>
      </c>
      <c r="C41" s="322"/>
      <c r="D41" s="323">
        <v>0.4</v>
      </c>
      <c r="E41" s="325">
        <f>+'&gt;&gt;Ratios'!D32/'&gt;&gt;Ratios'!D33</f>
        <v>9.081735620585266E-3</v>
      </c>
      <c r="F41" s="323">
        <f>+D41/(1+(E41*(1-$D$10)))</f>
        <v>0.39747317757946454</v>
      </c>
      <c r="G41" s="324">
        <f>+$D$6/$D$7</f>
        <v>0</v>
      </c>
      <c r="H41" s="323">
        <f>+F41*(1+(G41*(1-$D$10)))</f>
        <v>0.39747317757946454</v>
      </c>
    </row>
    <row r="42" spans="1:8" x14ac:dyDescent="0.2">
      <c r="B42" s="313" t="s">
        <v>404</v>
      </c>
      <c r="D42" s="323">
        <v>0.88</v>
      </c>
      <c r="E42" s="325">
        <f>+'&gt;&gt;Ratios'!E32/'&gt;&gt;Ratios'!E33</f>
        <v>0.81159420289855067</v>
      </c>
      <c r="F42" s="323">
        <f t="shared" ref="F42:F43" si="2">+D42/(1+(E42*(1-$D$10)))</f>
        <v>0.56118299445471354</v>
      </c>
      <c r="G42" s="324">
        <f t="shared" ref="G42:G43" si="3">+$D$6/$D$7</f>
        <v>0</v>
      </c>
      <c r="H42" s="323">
        <f t="shared" ref="H42:H43" si="4">+F42*(1+(G42*(1-$D$10)))</f>
        <v>0.56118299445471354</v>
      </c>
    </row>
    <row r="43" spans="1:8" x14ac:dyDescent="0.2">
      <c r="B43" s="313" t="s">
        <v>403</v>
      </c>
      <c r="D43" s="323">
        <v>1.2</v>
      </c>
      <c r="E43" s="325">
        <f>+'&gt;&gt;Ratios'!F32/'&gt;&gt;Ratios'!F33</f>
        <v>0.6</v>
      </c>
      <c r="F43" s="323">
        <f t="shared" si="2"/>
        <v>0.84507042253521125</v>
      </c>
      <c r="G43" s="324">
        <f t="shared" si="3"/>
        <v>0</v>
      </c>
      <c r="H43" s="323">
        <f t="shared" si="4"/>
        <v>0.84507042253521125</v>
      </c>
    </row>
    <row r="44" spans="1:8" hidden="1" x14ac:dyDescent="0.2">
      <c r="D44" s="281"/>
      <c r="E44" s="281"/>
      <c r="F44" s="281"/>
      <c r="G44" s="281"/>
      <c r="H44" s="281"/>
    </row>
    <row r="45" spans="1:8" ht="5.0999999999999996" customHeight="1" x14ac:dyDescent="0.2"/>
    <row r="46" spans="1:8" x14ac:dyDescent="0.2">
      <c r="E46" s="278" t="s">
        <v>103</v>
      </c>
      <c r="F46" s="284">
        <f>+AVERAGE(F41:F45)</f>
        <v>0.60124219818979652</v>
      </c>
      <c r="G46" s="285">
        <f>+AVERAGE(G41:G45)</f>
        <v>0</v>
      </c>
      <c r="H46" s="284">
        <f>+AVERAGE(H41:H45)</f>
        <v>0.60124219818979652</v>
      </c>
    </row>
  </sheetData>
  <mergeCells count="2">
    <mergeCell ref="B8:C8"/>
    <mergeCell ref="B39:C39"/>
  </mergeCells>
  <pageMargins left="0.7" right="0.7" top="0.75" bottom="0.75" header="0.3" footer="0.3"/>
  <pageSetup orientation="portrait" r:id="rId1"/>
  <ignoredErrors>
    <ignoredError sqref="G41 G42:G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H42"/>
  <sheetViews>
    <sheetView showGridLines="0" zoomScale="110" zoomScaleNormal="110" workbookViewId="0">
      <pane xSplit="2" ySplit="7" topLeftCell="C8" activePane="bottomRight" state="frozen"/>
      <selection pane="topRight" activeCell="C1" sqref="C1"/>
      <selection pane="bottomLeft" activeCell="A5" sqref="A5"/>
      <selection pane="bottomRight" activeCell="D47" sqref="D47"/>
    </sheetView>
  </sheetViews>
  <sheetFormatPr baseColWidth="10" defaultRowHeight="14.25" x14ac:dyDescent="0.2"/>
  <cols>
    <col min="1" max="1" width="1.75" bestFit="1" customWidth="1"/>
    <col min="2" max="2" width="27.875" bestFit="1" customWidth="1"/>
    <col min="7" max="7" width="12.125" customWidth="1"/>
  </cols>
  <sheetData>
    <row r="1" spans="1:8" ht="5.0999999999999996" customHeight="1" x14ac:dyDescent="0.2"/>
    <row r="2" spans="1:8" ht="15" x14ac:dyDescent="0.25">
      <c r="B2" s="103" t="str">
        <f>+'&gt;&gt;LP Modelo '!$B$1</f>
        <v>Lubricantes de la Peninsula, SA de CV</v>
      </c>
      <c r="C2" s="187"/>
      <c r="D2" s="187"/>
      <c r="E2" s="187"/>
      <c r="F2" s="187"/>
      <c r="G2" s="187"/>
    </row>
    <row r="3" spans="1:8" x14ac:dyDescent="0.2">
      <c r="B3" s="421" t="s">
        <v>149</v>
      </c>
      <c r="C3" s="87" t="str">
        <f>+'&gt;&gt;LP Modelo '!$B$2</f>
        <v>LP</v>
      </c>
      <c r="D3" s="90" t="s">
        <v>371</v>
      </c>
      <c r="E3" s="91" t="s">
        <v>372</v>
      </c>
      <c r="F3" s="91" t="s">
        <v>373</v>
      </c>
      <c r="G3" s="91" t="s">
        <v>103</v>
      </c>
    </row>
    <row r="4" spans="1:8" x14ac:dyDescent="0.2">
      <c r="B4" s="421"/>
      <c r="C4" s="87" t="s">
        <v>151</v>
      </c>
      <c r="D4" s="90" t="s">
        <v>374</v>
      </c>
      <c r="E4" s="91" t="s">
        <v>152</v>
      </c>
      <c r="F4" s="91" t="s">
        <v>375</v>
      </c>
      <c r="G4" s="91" t="s">
        <v>376</v>
      </c>
    </row>
    <row r="5" spans="1:8" ht="5.0999999999999996" customHeight="1" x14ac:dyDescent="0.2"/>
    <row r="6" spans="1:8" x14ac:dyDescent="0.2">
      <c r="C6" s="115"/>
      <c r="D6" s="116"/>
      <c r="E6" s="89"/>
      <c r="G6" s="150" t="s">
        <v>185</v>
      </c>
      <c r="H6" s="98"/>
    </row>
    <row r="7" spans="1:8" ht="5.0999999999999996" customHeight="1" x14ac:dyDescent="0.2"/>
    <row r="8" spans="1:8" ht="5.0999999999999996" customHeight="1" x14ac:dyDescent="0.2"/>
    <row r="9" spans="1:8" ht="15" x14ac:dyDescent="0.25">
      <c r="B9" s="92" t="s">
        <v>154</v>
      </c>
      <c r="C9" s="94">
        <f>+'&gt;&gt;LP Modelo '!F12/'&gt;&gt;Ratios'!C10/1000000</f>
        <v>7.7164391851851857</v>
      </c>
      <c r="D9" s="94">
        <f>+'Multiplos Sector'!G8</f>
        <v>0</v>
      </c>
      <c r="E9" s="94">
        <f>+'Multiplos Sector'!G11</f>
        <v>6573.6</v>
      </c>
      <c r="F9" s="94">
        <f>+'Multiplos Sector'!G16</f>
        <v>21571.599999999999</v>
      </c>
      <c r="G9" s="94">
        <f>+AVERAGE(D9:F9)</f>
        <v>9381.7333333333318</v>
      </c>
    </row>
    <row r="10" spans="1:8" x14ac:dyDescent="0.2">
      <c r="B10" s="37" t="s">
        <v>150</v>
      </c>
      <c r="C10" s="96">
        <v>13.5</v>
      </c>
      <c r="D10" s="95"/>
      <c r="E10" s="95"/>
      <c r="F10" s="95"/>
    </row>
    <row r="11" spans="1:8" x14ac:dyDescent="0.2">
      <c r="B11" s="85"/>
      <c r="C11" s="95"/>
      <c r="D11" s="95"/>
      <c r="E11" s="95"/>
      <c r="F11" s="95"/>
    </row>
    <row r="12" spans="1:8" ht="15" x14ac:dyDescent="0.25">
      <c r="A12" t="s">
        <v>132</v>
      </c>
      <c r="B12" s="86" t="s">
        <v>144</v>
      </c>
      <c r="C12" s="95"/>
      <c r="D12" s="95"/>
      <c r="E12" s="95"/>
      <c r="F12" s="95"/>
    </row>
    <row r="13" spans="1:8" x14ac:dyDescent="0.2">
      <c r="B13" s="85" t="s">
        <v>2</v>
      </c>
      <c r="C13" s="97">
        <f>+'&gt;&gt;LP Modelo '!F33</f>
        <v>0.11453239000690868</v>
      </c>
      <c r="D13" s="97">
        <f>+'Multiplos Sector'!H$18</f>
        <v>9.7799999999999998E-2</v>
      </c>
      <c r="E13" s="97">
        <f>+'Multiplos Sector'!H$11</f>
        <v>7.8700000000000006E-2</v>
      </c>
      <c r="F13" s="97">
        <f>+'Multiplos Sector'!H$16</f>
        <v>0.114</v>
      </c>
      <c r="G13" s="97">
        <f>+AVERAGE(D13:F13)</f>
        <v>9.6833333333333327E-2</v>
      </c>
    </row>
    <row r="14" spans="1:8" x14ac:dyDescent="0.2">
      <c r="B14" s="85" t="s">
        <v>145</v>
      </c>
      <c r="C14" s="97">
        <f>+'&gt;&gt;LP Modelo '!F55</f>
        <v>2.1832145586936455E-2</v>
      </c>
      <c r="D14" s="97">
        <f>+'Multiplos Sector'!I$18</f>
        <v>5.3600000000000002E-2</v>
      </c>
      <c r="E14" s="97">
        <f>+'Multiplos Sector'!I$11</f>
        <v>2.8500000000000001E-2</v>
      </c>
      <c r="F14" s="97">
        <f>+'Multiplos Sector'!I$16</f>
        <v>5.3199999999999997E-2</v>
      </c>
      <c r="G14" s="97">
        <f t="shared" ref="G14:G17" si="0">+AVERAGE(D14:F14)</f>
        <v>4.5100000000000001E-2</v>
      </c>
    </row>
    <row r="15" spans="1:8" x14ac:dyDescent="0.2">
      <c r="B15" s="85" t="s">
        <v>114</v>
      </c>
      <c r="C15" s="97">
        <f>+'&gt;&gt;LP Modelo '!F73</f>
        <v>-1.9054279008311276E-2</v>
      </c>
      <c r="D15" s="97">
        <f>+'Multiplos Sector'!J$18</f>
        <v>4.2500000000000003E-2</v>
      </c>
      <c r="E15" s="97">
        <f>+'Multiplos Sector'!J$11</f>
        <v>0.01</v>
      </c>
      <c r="F15" s="97">
        <f>+'Multiplos Sector'!I$16</f>
        <v>5.3199999999999997E-2</v>
      </c>
      <c r="G15" s="97">
        <f t="shared" si="0"/>
        <v>3.5233333333333332E-2</v>
      </c>
    </row>
    <row r="16" spans="1:8" x14ac:dyDescent="0.2">
      <c r="B16" s="85" t="s">
        <v>115</v>
      </c>
      <c r="C16" s="97">
        <f>+'&gt;&gt;LP Modelo '!F72/'&gt;&gt;LP Modelo '!F109</f>
        <v>-5.6936364353996176E-2</v>
      </c>
      <c r="D16" s="97">
        <v>5.1900000000000002E-2</v>
      </c>
      <c r="E16" s="97">
        <v>6.59E-2</v>
      </c>
      <c r="F16" s="97">
        <v>4.6399999999999997E-2</v>
      </c>
      <c r="G16" s="97">
        <f t="shared" si="0"/>
        <v>5.4733333333333335E-2</v>
      </c>
    </row>
    <row r="17" spans="1:7" x14ac:dyDescent="0.2">
      <c r="B17" s="85" t="s">
        <v>116</v>
      </c>
      <c r="C17" s="97">
        <f>+'&gt;&gt;LP Modelo '!F72/'&gt;&gt;LP Modelo '!F128</f>
        <v>-7.9661958183312065E-2</v>
      </c>
      <c r="D17" s="97">
        <v>8.5599999999999996E-2</v>
      </c>
      <c r="E17" s="97">
        <v>0.16</v>
      </c>
      <c r="F17" s="97">
        <v>0.17100000000000001</v>
      </c>
      <c r="G17" s="97">
        <f t="shared" si="0"/>
        <v>0.13886666666666667</v>
      </c>
    </row>
    <row r="18" spans="1:7" x14ac:dyDescent="0.2">
      <c r="C18" s="95"/>
      <c r="D18" s="95"/>
      <c r="E18" s="95"/>
      <c r="F18" s="95"/>
    </row>
    <row r="19" spans="1:7" ht="15" x14ac:dyDescent="0.25">
      <c r="A19" t="s">
        <v>132</v>
      </c>
      <c r="B19" s="86" t="s">
        <v>146</v>
      </c>
      <c r="C19" s="95"/>
      <c r="D19" s="95"/>
      <c r="E19" s="95"/>
      <c r="F19" s="95"/>
    </row>
    <row r="20" spans="1:7" x14ac:dyDescent="0.2">
      <c r="B20" s="85" t="s">
        <v>117</v>
      </c>
      <c r="C20" s="117">
        <f>+'&gt;&gt;LP Modelo '!F13/'&gt;&gt;LP Modelo '!F109</f>
        <v>2.9881143405720643</v>
      </c>
      <c r="D20" s="299">
        <v>1.75</v>
      </c>
      <c r="E20" s="299">
        <v>5.21</v>
      </c>
      <c r="F20" s="299">
        <v>2.4500000000000002</v>
      </c>
      <c r="G20" s="299">
        <f t="shared" ref="G20:G22" si="1">+AVERAGE(D20:F20)</f>
        <v>3.1366666666666667</v>
      </c>
    </row>
    <row r="21" spans="1:7" x14ac:dyDescent="0.2">
      <c r="B21" s="85" t="s">
        <v>118</v>
      </c>
      <c r="C21" s="117">
        <f>+'&gt;&gt;LP Modelo '!F13/'&gt;&gt;LP Modelo '!F81</f>
        <v>7.6979208387289955</v>
      </c>
      <c r="D21" s="299">
        <v>6.14</v>
      </c>
      <c r="E21" s="299">
        <v>17.5</v>
      </c>
      <c r="F21" s="299">
        <v>15.8</v>
      </c>
      <c r="G21" s="299">
        <f t="shared" si="1"/>
        <v>13.146666666666667</v>
      </c>
    </row>
    <row r="22" spans="1:7" x14ac:dyDescent="0.2">
      <c r="B22" s="85" t="s">
        <v>119</v>
      </c>
      <c r="C22" s="117">
        <f>+'&gt;&gt;LP Modelo '!F13/'&gt;&gt;LP Modelo '!F83</f>
        <v>10.807072074273099</v>
      </c>
      <c r="D22" s="299">
        <v>6.22</v>
      </c>
      <c r="E22" s="299">
        <v>51.7</v>
      </c>
      <c r="F22" s="299">
        <v>9.9600000000000009</v>
      </c>
      <c r="G22" s="299">
        <f t="shared" si="1"/>
        <v>22.626666666666665</v>
      </c>
    </row>
    <row r="23" spans="1:7" x14ac:dyDescent="0.2">
      <c r="C23" s="95"/>
      <c r="D23" s="95"/>
      <c r="E23" s="95"/>
      <c r="F23" s="95"/>
    </row>
    <row r="24" spans="1:7" ht="15" x14ac:dyDescent="0.25">
      <c r="A24" t="s">
        <v>132</v>
      </c>
      <c r="B24" s="86" t="s">
        <v>147</v>
      </c>
      <c r="C24" s="95"/>
      <c r="D24" s="95"/>
      <c r="E24" s="95"/>
      <c r="F24" s="95"/>
    </row>
    <row r="25" spans="1:7" x14ac:dyDescent="0.2">
      <c r="B25" s="85" t="s">
        <v>122</v>
      </c>
      <c r="C25" s="94">
        <f>+'&gt;&gt;LP Modelo '!F139</f>
        <v>46.765874518844704</v>
      </c>
      <c r="D25" s="300">
        <v>59.3</v>
      </c>
      <c r="E25" s="300">
        <v>20.8</v>
      </c>
      <c r="F25" s="300">
        <v>23.1</v>
      </c>
      <c r="G25" s="300">
        <f t="shared" ref="G25:G28" si="2">+AVERAGE(D25:F25)</f>
        <v>34.4</v>
      </c>
    </row>
    <row r="26" spans="1:7" x14ac:dyDescent="0.2">
      <c r="B26" s="85" t="s">
        <v>120</v>
      </c>
      <c r="C26" s="94">
        <f>+'&gt;&gt;LP Modelo '!F141</f>
        <v>37.620258326057183</v>
      </c>
      <c r="D26" s="300">
        <v>58.5</v>
      </c>
      <c r="E26" s="300">
        <v>7.04</v>
      </c>
      <c r="F26" s="300">
        <v>36.5</v>
      </c>
      <c r="G26" s="300">
        <f t="shared" si="2"/>
        <v>34.013333333333335</v>
      </c>
    </row>
    <row r="27" spans="1:7" x14ac:dyDescent="0.2">
      <c r="B27" s="85" t="s">
        <v>123</v>
      </c>
      <c r="C27" s="94">
        <f>+'&gt;&gt;LP Modelo '!F145</f>
        <v>29.489303271850137</v>
      </c>
      <c r="D27" s="300">
        <v>27.3</v>
      </c>
      <c r="E27" s="300">
        <v>20</v>
      </c>
      <c r="F27" s="300">
        <v>41.5</v>
      </c>
      <c r="G27" s="300">
        <f t="shared" si="2"/>
        <v>29.599999999999998</v>
      </c>
    </row>
    <row r="28" spans="1:7" x14ac:dyDescent="0.2">
      <c r="B28" s="85" t="s">
        <v>121</v>
      </c>
      <c r="C28" s="94">
        <f>+C25+C26-C27</f>
        <v>54.896829573051747</v>
      </c>
      <c r="D28" s="94">
        <f>+D25+D26-D27</f>
        <v>90.5</v>
      </c>
      <c r="E28" s="94">
        <f t="shared" ref="E28:F28" si="3">+E25+E26-E27</f>
        <v>7.84</v>
      </c>
      <c r="F28" s="94">
        <f t="shared" si="3"/>
        <v>18.100000000000001</v>
      </c>
      <c r="G28" s="94">
        <f t="shared" si="2"/>
        <v>38.813333333333333</v>
      </c>
    </row>
    <row r="29" spans="1:7" x14ac:dyDescent="0.2">
      <c r="C29" s="95"/>
      <c r="D29" s="95"/>
      <c r="E29" s="95"/>
      <c r="F29" s="95"/>
    </row>
    <row r="30" spans="1:7" ht="15" x14ac:dyDescent="0.25">
      <c r="A30" t="s">
        <v>132</v>
      </c>
      <c r="B30" s="86" t="s">
        <v>148</v>
      </c>
      <c r="C30" s="95"/>
      <c r="D30" s="95"/>
      <c r="E30" s="95"/>
      <c r="F30" s="95"/>
    </row>
    <row r="31" spans="1:7" x14ac:dyDescent="0.2">
      <c r="B31" s="88" t="s">
        <v>155</v>
      </c>
      <c r="C31" s="117">
        <v>0</v>
      </c>
      <c r="D31" s="299">
        <v>6.0999999999999999E-2</v>
      </c>
      <c r="E31" s="299">
        <v>2.1800000000000002</v>
      </c>
      <c r="F31" s="299">
        <v>2.2000000000000002</v>
      </c>
      <c r="G31" s="299">
        <f t="shared" ref="G31:G33" si="4">+AVERAGE(D31:F31)</f>
        <v>1.4803333333333335</v>
      </c>
    </row>
    <row r="32" spans="1:7" x14ac:dyDescent="0.2">
      <c r="B32" s="85" t="s">
        <v>124</v>
      </c>
      <c r="C32" s="97">
        <f>+'&gt;&gt;LP Modelo '!F117/('&gt;&gt;LP Modelo '!F128+'&gt;&gt;LP Modelo '!F118)</f>
        <v>0</v>
      </c>
      <c r="D32" s="97">
        <v>8.9999999999999993E-3</v>
      </c>
      <c r="E32" s="97">
        <v>0.44800000000000001</v>
      </c>
      <c r="F32" s="97">
        <v>0.375</v>
      </c>
      <c r="G32" s="97">
        <f t="shared" si="4"/>
        <v>0.27733333333333338</v>
      </c>
    </row>
    <row r="33" spans="2:7" x14ac:dyDescent="0.2">
      <c r="B33" s="88" t="s">
        <v>156</v>
      </c>
      <c r="C33" s="97">
        <f>'&gt;&gt;LP Modelo '!F128/('&gt;&gt;LP Modelo '!F128+'&gt;&gt;LP Modelo '!F117)</f>
        <v>1</v>
      </c>
      <c r="D33" s="97">
        <v>0.99099999999999999</v>
      </c>
      <c r="E33" s="97">
        <v>0.55200000000000005</v>
      </c>
      <c r="F33" s="97">
        <v>0.625</v>
      </c>
      <c r="G33" s="97">
        <f t="shared" si="4"/>
        <v>0.72266666666666668</v>
      </c>
    </row>
    <row r="34" spans="2:7" x14ac:dyDescent="0.2">
      <c r="C34" s="95"/>
      <c r="D34" s="97"/>
      <c r="E34" s="97"/>
      <c r="F34" s="97"/>
      <c r="G34" s="97"/>
    </row>
    <row r="35" spans="2:7" x14ac:dyDescent="0.2">
      <c r="C35" s="118"/>
      <c r="D35" s="326"/>
      <c r="E35" s="118"/>
      <c r="F35" s="118"/>
      <c r="G35" s="118"/>
    </row>
    <row r="36" spans="2:7" x14ac:dyDescent="0.2">
      <c r="C36" s="95"/>
      <c r="D36" s="327"/>
      <c r="E36" s="95"/>
      <c r="F36" s="95"/>
    </row>
    <row r="37" spans="2:7" x14ac:dyDescent="0.2">
      <c r="C37" s="95"/>
      <c r="D37" s="95"/>
      <c r="E37" s="95"/>
      <c r="F37" s="95"/>
    </row>
    <row r="38" spans="2:7" x14ac:dyDescent="0.2">
      <c r="C38" s="95"/>
      <c r="D38" s="328"/>
      <c r="E38" s="95"/>
      <c r="F38" s="95"/>
    </row>
    <row r="39" spans="2:7" x14ac:dyDescent="0.2">
      <c r="C39" s="95"/>
      <c r="D39" s="95"/>
      <c r="E39" s="95"/>
      <c r="F39" s="95"/>
    </row>
    <row r="40" spans="2:7" x14ac:dyDescent="0.2">
      <c r="C40" s="95"/>
      <c r="D40" s="95"/>
      <c r="E40" s="95"/>
      <c r="F40" s="95"/>
    </row>
    <row r="41" spans="2:7" x14ac:dyDescent="0.2">
      <c r="C41" s="95"/>
      <c r="D41" s="95"/>
      <c r="E41" s="95"/>
      <c r="F41" s="95"/>
    </row>
    <row r="42" spans="2:7" x14ac:dyDescent="0.2">
      <c r="C42" s="95"/>
      <c r="D42" s="95"/>
      <c r="E42" s="95"/>
      <c r="F42" s="95"/>
    </row>
  </sheetData>
  <mergeCells count="1">
    <mergeCell ref="B3:B4"/>
  </mergeCells>
  <pageMargins left="0.7" right="0.7" top="0.75" bottom="0.75" header="0.3" footer="0.3"/>
  <pageSetup orientation="portrait" r:id="rId1"/>
  <ignoredErrors>
    <ignoredError sqref="G27 G3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58"/>
  <sheetViews>
    <sheetView showGridLines="0" workbookViewId="0">
      <selection activeCell="M52" sqref="M52"/>
    </sheetView>
  </sheetViews>
  <sheetFormatPr baseColWidth="10" defaultRowHeight="12.75" x14ac:dyDescent="0.2"/>
  <cols>
    <col min="1" max="1" width="2.625" style="155" customWidth="1"/>
    <col min="2" max="2" width="11" style="155"/>
    <col min="3" max="3" width="5.75" style="155" customWidth="1"/>
    <col min="4" max="4" width="11.125" style="155" customWidth="1"/>
    <col min="5" max="5" width="6" style="155" customWidth="1"/>
    <col min="6" max="6" width="11.375" style="155" bestFit="1" customWidth="1"/>
    <col min="7" max="8" width="12" style="155" customWidth="1"/>
    <col min="9" max="9" width="9.75" style="155" customWidth="1"/>
    <col min="10" max="12" width="12" style="155" customWidth="1"/>
    <col min="13" max="13" width="4.25" style="155" customWidth="1"/>
    <col min="14" max="14" width="13.375" style="155" bestFit="1" customWidth="1"/>
    <col min="15" max="15" width="4.25" style="155" customWidth="1"/>
    <col min="16" max="16" width="11.625" style="155" bestFit="1" customWidth="1"/>
    <col min="17" max="16384" width="11" style="155"/>
  </cols>
  <sheetData>
    <row r="1" spans="1:11" s="157" customFormat="1" ht="15.75" x14ac:dyDescent="0.25">
      <c r="B1" s="188" t="str">
        <f>+'&gt;&gt;LP Modelo '!B2</f>
        <v>LP</v>
      </c>
    </row>
    <row r="2" spans="1:11" s="157" customFormat="1" x14ac:dyDescent="0.2">
      <c r="B2" s="190" t="s">
        <v>187</v>
      </c>
    </row>
    <row r="3" spans="1:11" s="157" customFormat="1" x14ac:dyDescent="0.2"/>
    <row r="5" spans="1:11" x14ac:dyDescent="0.2">
      <c r="A5" s="155" t="s">
        <v>132</v>
      </c>
      <c r="B5" s="156" t="s">
        <v>188</v>
      </c>
      <c r="C5" s="157"/>
      <c r="D5" s="157"/>
      <c r="E5" s="157"/>
      <c r="F5" s="157"/>
      <c r="G5" s="157"/>
      <c r="H5" s="157"/>
      <c r="I5" s="157"/>
      <c r="J5" s="157"/>
      <c r="K5" s="157"/>
    </row>
    <row r="7" spans="1:11" x14ac:dyDescent="0.2">
      <c r="B7" s="265" t="s">
        <v>265</v>
      </c>
      <c r="F7" s="158">
        <f>+WACC!$H$14</f>
        <v>0.14999316554950823</v>
      </c>
    </row>
    <row r="8" spans="1:11" x14ac:dyDescent="0.2">
      <c r="B8" s="155" t="s">
        <v>160</v>
      </c>
      <c r="F8" s="158">
        <v>5.0000000000000001E-3</v>
      </c>
    </row>
    <row r="9" spans="1:11" x14ac:dyDescent="0.2">
      <c r="B9" s="155" t="s">
        <v>189</v>
      </c>
      <c r="F9" s="159">
        <v>42005</v>
      </c>
    </row>
    <row r="10" spans="1:11" x14ac:dyDescent="0.2">
      <c r="B10" s="155" t="s">
        <v>190</v>
      </c>
      <c r="F10" s="158">
        <v>0.03</v>
      </c>
    </row>
    <row r="11" spans="1:11" x14ac:dyDescent="0.2">
      <c r="B11" s="155" t="s">
        <v>160</v>
      </c>
      <c r="F11" s="158">
        <v>5.0000000000000001E-3</v>
      </c>
    </row>
    <row r="12" spans="1:11" x14ac:dyDescent="0.2">
      <c r="B12" s="155" t="s">
        <v>191</v>
      </c>
      <c r="F12" s="160">
        <f>+'&gt;&gt;LP Modelo '!F118</f>
        <v>0</v>
      </c>
    </row>
    <row r="13" spans="1:11" x14ac:dyDescent="0.2">
      <c r="B13" s="341" t="s">
        <v>405</v>
      </c>
      <c r="F13" s="160">
        <f>+'&gt;&gt;LP Modelo '!H79</f>
        <v>4672258.78</v>
      </c>
    </row>
    <row r="14" spans="1:11" x14ac:dyDescent="0.2">
      <c r="B14" s="155" t="s">
        <v>192</v>
      </c>
      <c r="F14" s="121">
        <f>+'&gt;&gt;LP Modelo '!J54</f>
        <v>55029.90753759144</v>
      </c>
    </row>
    <row r="15" spans="1:11" x14ac:dyDescent="0.2">
      <c r="B15" s="155" t="s">
        <v>193</v>
      </c>
      <c r="F15" s="121">
        <f>+'&gt;&gt;LP Modelo '!K54</f>
        <v>2804666.0261402274</v>
      </c>
    </row>
    <row r="17" spans="1:11" x14ac:dyDescent="0.2">
      <c r="A17" s="155" t="s">
        <v>132</v>
      </c>
      <c r="B17" s="156" t="s">
        <v>194</v>
      </c>
      <c r="C17" s="157"/>
      <c r="D17" s="157"/>
      <c r="E17" s="157"/>
      <c r="F17" s="157"/>
      <c r="G17" s="157"/>
      <c r="H17" s="157"/>
      <c r="I17" s="157"/>
      <c r="J17" s="157"/>
      <c r="K17" s="157"/>
    </row>
    <row r="19" spans="1:11" x14ac:dyDescent="0.2">
      <c r="B19" s="161"/>
      <c r="C19" s="161"/>
      <c r="D19" s="161"/>
      <c r="E19" s="161"/>
      <c r="F19" s="161">
        <f>+'&gt;&gt;LP Modelo '!J6</f>
        <v>2015</v>
      </c>
      <c r="G19" s="161">
        <f>+'&gt;&gt;LP Modelo '!K6</f>
        <v>2016</v>
      </c>
      <c r="H19" s="161">
        <f>+'&gt;&gt;LP Modelo '!L6</f>
        <v>2017</v>
      </c>
      <c r="I19" s="161">
        <f>+'&gt;&gt;LP Modelo '!M6</f>
        <v>2018</v>
      </c>
      <c r="J19" s="161">
        <f>+'&gt;&gt;LP Modelo '!N6</f>
        <v>2019</v>
      </c>
    </row>
    <row r="20" spans="1:11" s="163" customFormat="1" ht="5.0999999999999996" customHeight="1" x14ac:dyDescent="0.2">
      <c r="C20" s="164"/>
      <c r="D20" s="164"/>
      <c r="E20" s="164"/>
      <c r="F20" s="164"/>
      <c r="G20" s="164"/>
      <c r="H20" s="164"/>
      <c r="I20" s="164"/>
      <c r="J20" s="164"/>
    </row>
    <row r="21" spans="1:11" x14ac:dyDescent="0.2">
      <c r="B21" s="155" t="s">
        <v>189</v>
      </c>
      <c r="F21" s="165">
        <f>+F9</f>
        <v>42005</v>
      </c>
      <c r="G21" s="165">
        <f t="shared" ref="G21:J21" si="0">+F21</f>
        <v>42005</v>
      </c>
      <c r="H21" s="165">
        <f t="shared" si="0"/>
        <v>42005</v>
      </c>
      <c r="I21" s="165">
        <f t="shared" si="0"/>
        <v>42005</v>
      </c>
      <c r="J21" s="165">
        <f t="shared" si="0"/>
        <v>42005</v>
      </c>
    </row>
    <row r="22" spans="1:11" x14ac:dyDescent="0.2">
      <c r="B22" s="155" t="s">
        <v>195</v>
      </c>
      <c r="F22" s="165">
        <f>+DATE(F19,12,31)</f>
        <v>42369</v>
      </c>
      <c r="G22" s="165">
        <f>+DATE(G19,12,31)</f>
        <v>42735</v>
      </c>
      <c r="H22" s="165">
        <f t="shared" ref="H22:J22" si="1">+DATE(H19,12,31)</f>
        <v>43100</v>
      </c>
      <c r="I22" s="165">
        <f t="shared" si="1"/>
        <v>43465</v>
      </c>
      <c r="J22" s="165">
        <f t="shared" si="1"/>
        <v>43830</v>
      </c>
    </row>
    <row r="23" spans="1:11" x14ac:dyDescent="0.2">
      <c r="B23" s="166" t="s">
        <v>196</v>
      </c>
      <c r="C23" s="166"/>
      <c r="D23" s="166"/>
      <c r="E23" s="166"/>
      <c r="F23" s="167">
        <f>+(F22-F21)/365</f>
        <v>0.99726027397260275</v>
      </c>
      <c r="G23" s="167">
        <f>+((G22-F22)/365)+F23</f>
        <v>2</v>
      </c>
      <c r="H23" s="167">
        <f t="shared" ref="H23:J23" si="2">+((H22-G22)/365)+G23</f>
        <v>3</v>
      </c>
      <c r="I23" s="167">
        <f t="shared" si="2"/>
        <v>4</v>
      </c>
      <c r="J23" s="167">
        <f t="shared" si="2"/>
        <v>5</v>
      </c>
    </row>
    <row r="24" spans="1:11" x14ac:dyDescent="0.2">
      <c r="B24" s="168"/>
    </row>
    <row r="25" spans="1:11" x14ac:dyDescent="0.2">
      <c r="B25" s="161" t="s">
        <v>197</v>
      </c>
      <c r="C25" s="161"/>
      <c r="D25" s="169" t="s">
        <v>198</v>
      </c>
      <c r="E25" s="161"/>
      <c r="F25" s="161">
        <f>+F19</f>
        <v>2015</v>
      </c>
      <c r="G25" s="161">
        <f>+G19</f>
        <v>2016</v>
      </c>
      <c r="H25" s="161">
        <f>+H19</f>
        <v>2017</v>
      </c>
      <c r="I25" s="161">
        <f>+I19</f>
        <v>2018</v>
      </c>
      <c r="J25" s="161">
        <f>+J19</f>
        <v>2019</v>
      </c>
    </row>
    <row r="26" spans="1:11" x14ac:dyDescent="0.2">
      <c r="B26" s="164"/>
    </row>
    <row r="27" spans="1:11" x14ac:dyDescent="0.2">
      <c r="B27" s="164" t="s">
        <v>209</v>
      </c>
      <c r="F27" s="162">
        <f>+'&gt;&gt;LP Modelo '!J191</f>
        <v>680428.15446500375</v>
      </c>
      <c r="G27" s="162">
        <f>+'&gt;&gt;LP Modelo '!K191</f>
        <v>-494029.23219420062</v>
      </c>
      <c r="H27" s="162">
        <f>+'&gt;&gt;LP Modelo '!L191</f>
        <v>962621.84351580054</v>
      </c>
      <c r="I27" s="162">
        <f>+'&gt;&gt;LP Modelo '!M191</f>
        <v>1457750.3927415209</v>
      </c>
      <c r="J27" s="162">
        <f>+'&gt;&gt;LP Modelo '!N191</f>
        <v>2921061.5355945043</v>
      </c>
    </row>
    <row r="28" spans="1:11" x14ac:dyDescent="0.2">
      <c r="B28" s="164"/>
    </row>
    <row r="29" spans="1:11" hidden="1" x14ac:dyDescent="0.2">
      <c r="B29" s="170">
        <f>+$B30+$F$8</f>
        <v>0.15999316554950824</v>
      </c>
      <c r="D29" s="192">
        <f>+SUM(F29:J29)</f>
        <v>3032309.3844822822</v>
      </c>
      <c r="F29" s="162">
        <f t="shared" ref="F29:J33" si="3">F$27/(1+$B29)^F$23</f>
        <v>586818.0111382457</v>
      </c>
      <c r="G29" s="162">
        <f t="shared" si="3"/>
        <v>-367148.52382324659</v>
      </c>
      <c r="H29" s="162">
        <f t="shared" si="3"/>
        <v>616721.97145040415</v>
      </c>
      <c r="I29" s="162">
        <f t="shared" si="3"/>
        <v>805121.53903142118</v>
      </c>
      <c r="J29" s="162">
        <f t="shared" si="3"/>
        <v>1390796.3866854575</v>
      </c>
    </row>
    <row r="30" spans="1:11" hidden="1" x14ac:dyDescent="0.2">
      <c r="B30" s="170">
        <f>+$B31+$F$8</f>
        <v>0.15499316554950823</v>
      </c>
      <c r="D30" s="192">
        <f>+SUM(F30:J30)</f>
        <v>3084099.3764575329</v>
      </c>
      <c r="F30" s="162">
        <f t="shared" si="3"/>
        <v>589351.38900845521</v>
      </c>
      <c r="G30" s="162">
        <f t="shared" si="3"/>
        <v>-370334.19827808323</v>
      </c>
      <c r="H30" s="162">
        <f t="shared" si="3"/>
        <v>624766.1181652979</v>
      </c>
      <c r="I30" s="162">
        <f t="shared" si="3"/>
        <v>819153.91187639104</v>
      </c>
      <c r="J30" s="162">
        <f>J$27/(1+$B30)^J$23</f>
        <v>1421162.1556854721</v>
      </c>
    </row>
    <row r="31" spans="1:11" x14ac:dyDescent="0.2">
      <c r="B31" s="329">
        <f>+F7</f>
        <v>0.14999316554950823</v>
      </c>
      <c r="C31" s="330"/>
      <c r="D31" s="358">
        <f>+SUM(F31:J31)</f>
        <v>3137116.3483719169</v>
      </c>
      <c r="E31" s="330"/>
      <c r="F31" s="359">
        <f t="shared" si="3"/>
        <v>591906.76607422519</v>
      </c>
      <c r="G31" s="359">
        <f t="shared" si="3"/>
        <v>-373561.51552243764</v>
      </c>
      <c r="H31" s="359">
        <f t="shared" si="3"/>
        <v>632950.77261831542</v>
      </c>
      <c r="I31" s="359">
        <f t="shared" si="3"/>
        <v>833493.3319427669</v>
      </c>
      <c r="J31" s="360">
        <f t="shared" si="3"/>
        <v>1452326.9932590472</v>
      </c>
    </row>
    <row r="32" spans="1:11" hidden="1" x14ac:dyDescent="0.2">
      <c r="B32" s="170">
        <f>+$B31-$F$8</f>
        <v>0.14499316554950822</v>
      </c>
      <c r="D32" s="192">
        <f>+SUM(F32:J32)</f>
        <v>3191395.6779567795</v>
      </c>
      <c r="F32" s="162">
        <f t="shared" si="3"/>
        <v>594484.43027142982</v>
      </c>
      <c r="G32" s="162">
        <f t="shared" si="3"/>
        <v>-376831.20453152485</v>
      </c>
      <c r="H32" s="162">
        <f t="shared" si="3"/>
        <v>641279.01607934269</v>
      </c>
      <c r="I32" s="162">
        <f t="shared" si="3"/>
        <v>848147.89695765148</v>
      </c>
      <c r="J32" s="162">
        <f t="shared" si="3"/>
        <v>1484315.5391798804</v>
      </c>
    </row>
    <row r="33" spans="1:18" hidden="1" x14ac:dyDescent="0.2">
      <c r="B33" s="172">
        <f>+$B32-$F$8</f>
        <v>0.13999316554950822</v>
      </c>
      <c r="C33" s="166"/>
      <c r="D33" s="253">
        <f>+SUM(F33:J33)</f>
        <v>3246973.9358241763</v>
      </c>
      <c r="E33" s="166"/>
      <c r="F33" s="173">
        <f t="shared" si="3"/>
        <v>597084.67458399001</v>
      </c>
      <c r="G33" s="173">
        <f t="shared" si="3"/>
        <v>-380144.01030193723</v>
      </c>
      <c r="H33" s="173">
        <f t="shared" si="3"/>
        <v>649754.01126019587</v>
      </c>
      <c r="I33" s="173">
        <f t="shared" si="3"/>
        <v>863125.95490093553</v>
      </c>
      <c r="J33" s="173">
        <f t="shared" si="3"/>
        <v>1517153.3053809924</v>
      </c>
    </row>
    <row r="35" spans="1:18" x14ac:dyDescent="0.2">
      <c r="A35" s="155" t="s">
        <v>132</v>
      </c>
      <c r="B35" s="156" t="s">
        <v>199</v>
      </c>
      <c r="C35" s="157"/>
      <c r="D35" s="157"/>
      <c r="E35" s="157"/>
      <c r="F35" s="157"/>
      <c r="G35" s="157"/>
      <c r="H35" s="157"/>
      <c r="I35" s="157"/>
      <c r="J35" s="157"/>
      <c r="K35" s="157"/>
      <c r="L35" s="157"/>
      <c r="M35" s="157"/>
      <c r="N35" s="157"/>
      <c r="O35" s="157"/>
      <c r="P35" s="157"/>
      <c r="Q35" s="157"/>
      <c r="R35" s="157"/>
    </row>
    <row r="37" spans="1:18" x14ac:dyDescent="0.2">
      <c r="B37" s="174"/>
      <c r="D37" s="174"/>
      <c r="F37" s="175"/>
      <c r="G37" s="443" t="s">
        <v>458</v>
      </c>
      <c r="H37" s="175"/>
      <c r="J37" s="175"/>
      <c r="K37" s="176" t="s">
        <v>200</v>
      </c>
      <c r="L37" s="175"/>
      <c r="N37" s="177" t="s">
        <v>201</v>
      </c>
      <c r="P37" s="175"/>
      <c r="Q37" s="256" t="s">
        <v>202</v>
      </c>
      <c r="R37" s="175"/>
    </row>
    <row r="38" spans="1:18" x14ac:dyDescent="0.2">
      <c r="B38" s="161" t="s">
        <v>197</v>
      </c>
      <c r="D38" s="169" t="s">
        <v>198</v>
      </c>
      <c r="E38" s="178" t="s">
        <v>203</v>
      </c>
      <c r="F38" s="179">
        <f>+G38-G38</f>
        <v>0</v>
      </c>
      <c r="G38" s="179">
        <f>+$F$10</f>
        <v>0.03</v>
      </c>
      <c r="H38" s="179">
        <f>+G38+F11</f>
        <v>3.4999999999999996E-2</v>
      </c>
      <c r="I38" s="178" t="s">
        <v>204</v>
      </c>
      <c r="J38" s="179">
        <f t="shared" ref="J38" si="4">+F38</f>
        <v>0</v>
      </c>
      <c r="K38" s="179">
        <f>+G38</f>
        <v>0.03</v>
      </c>
      <c r="L38" s="179">
        <f t="shared" ref="L38" si="5">+H38</f>
        <v>3.4999999999999996E-2</v>
      </c>
      <c r="M38" s="178" t="s">
        <v>184</v>
      </c>
      <c r="N38" s="169" t="s">
        <v>205</v>
      </c>
      <c r="O38" s="178" t="s">
        <v>204</v>
      </c>
      <c r="P38" s="179">
        <f t="shared" ref="P38" si="6">+J38</f>
        <v>0</v>
      </c>
      <c r="Q38" s="179">
        <f>+K38</f>
        <v>0.03</v>
      </c>
      <c r="R38" s="179">
        <f t="shared" ref="R38" si="7">+L38</f>
        <v>3.4999999999999996E-2</v>
      </c>
    </row>
    <row r="39" spans="1:18" ht="5.0999999999999996" customHeight="1" x14ac:dyDescent="0.2">
      <c r="B39" s="164"/>
      <c r="D39" s="164"/>
    </row>
    <row r="40" spans="1:18" hidden="1" x14ac:dyDescent="0.2">
      <c r="B40" s="170">
        <f>+B29</f>
        <v>0.15999316554950824</v>
      </c>
      <c r="D40" s="171">
        <f>+D29</f>
        <v>3032309.3844822822</v>
      </c>
      <c r="F40" s="180">
        <f t="shared" ref="F40:H44" si="8">+(($J$27*(1+F$38))/($B40-F$38))/((1+$B40)^$J$23)</f>
        <v>8692848.7345610391</v>
      </c>
      <c r="G40" s="180">
        <f t="shared" si="8"/>
        <v>11019966.105375303</v>
      </c>
      <c r="H40" s="180">
        <f t="shared" si="8"/>
        <v>11516423.749179237</v>
      </c>
      <c r="J40" s="254">
        <f>+$D40+F40</f>
        <v>11725158.11904332</v>
      </c>
      <c r="K40" s="254">
        <f t="shared" ref="K40:L44" si="9">+$D40+G40</f>
        <v>14052275.489857584</v>
      </c>
      <c r="L40" s="254">
        <f t="shared" si="9"/>
        <v>14548733.13366152</v>
      </c>
      <c r="N40" s="181">
        <f>+$F$12-$F$13</f>
        <v>-4672258.78</v>
      </c>
      <c r="O40" s="171"/>
      <c r="P40" s="254">
        <f>+J40-$N40</f>
        <v>16397416.899043322</v>
      </c>
      <c r="Q40" s="254">
        <f t="shared" ref="Q40:R44" si="10">+K40-$N40</f>
        <v>18724534.269857585</v>
      </c>
      <c r="R40" s="254">
        <f t="shared" si="10"/>
        <v>19220991.913661521</v>
      </c>
    </row>
    <row r="41" spans="1:18" hidden="1" x14ac:dyDescent="0.2">
      <c r="B41" s="170">
        <f>+B30</f>
        <v>0.15499316554950823</v>
      </c>
      <c r="D41" s="171">
        <f>+D30</f>
        <v>3084099.3764575329</v>
      </c>
      <c r="F41" s="180">
        <f t="shared" si="8"/>
        <v>9169192.4004966635</v>
      </c>
      <c r="G41" s="180">
        <f t="shared" si="8"/>
        <v>11711016.469746456</v>
      </c>
      <c r="H41" s="180">
        <f t="shared" si="8"/>
        <v>12258221.744534113</v>
      </c>
      <c r="J41" s="254">
        <f t="shared" ref="J41:J44" si="11">+$D41+F41</f>
        <v>12253291.776954196</v>
      </c>
      <c r="K41" s="254">
        <f t="shared" si="9"/>
        <v>14795115.846203988</v>
      </c>
      <c r="L41" s="254">
        <f t="shared" si="9"/>
        <v>15342321.120991645</v>
      </c>
      <c r="N41" s="181">
        <f t="shared" ref="N41:N44" si="12">+$F$12-$F$13</f>
        <v>-4672258.78</v>
      </c>
      <c r="P41" s="254">
        <f t="shared" ref="P41:P44" si="13">+J41-$N41</f>
        <v>16925550.556954198</v>
      </c>
      <c r="Q41" s="254">
        <f t="shared" si="10"/>
        <v>19467374.626203988</v>
      </c>
      <c r="R41" s="254">
        <f t="shared" si="10"/>
        <v>20014579.900991645</v>
      </c>
    </row>
    <row r="42" spans="1:18" x14ac:dyDescent="0.2">
      <c r="B42" s="329">
        <f>+B31</f>
        <v>0.14999316554950823</v>
      </c>
      <c r="C42" s="330"/>
      <c r="D42" s="331">
        <f>+D31</f>
        <v>3137116.3483719169</v>
      </c>
      <c r="E42" s="330"/>
      <c r="F42" s="332">
        <f>+(($J$27*(1+F$38))/($B42-F$38))/((1+$B42)^$J$23)</f>
        <v>9682621.1243583485</v>
      </c>
      <c r="G42" s="332">
        <f t="shared" si="8"/>
        <v>12466516.707067151</v>
      </c>
      <c r="H42" s="332">
        <f t="shared" si="8"/>
        <v>13071719.791694542</v>
      </c>
      <c r="I42" s="330"/>
      <c r="J42" s="333">
        <f t="shared" si="11"/>
        <v>12819737.472730266</v>
      </c>
      <c r="K42" s="333">
        <f t="shared" si="9"/>
        <v>15603633.055439068</v>
      </c>
      <c r="L42" s="333">
        <f t="shared" si="9"/>
        <v>16208836.14006646</v>
      </c>
      <c r="M42" s="330"/>
      <c r="N42" s="334">
        <f t="shared" si="12"/>
        <v>-4672258.78</v>
      </c>
      <c r="O42" s="330"/>
      <c r="P42" s="333">
        <f>+J42-$N42</f>
        <v>17491996.252730265</v>
      </c>
      <c r="Q42" s="333">
        <f>+K42-$N42</f>
        <v>20275891.835439067</v>
      </c>
      <c r="R42" s="335">
        <f>+L42-$N42</f>
        <v>20881094.920066461</v>
      </c>
    </row>
    <row r="43" spans="1:18" hidden="1" x14ac:dyDescent="0.2">
      <c r="B43" s="170">
        <f>+B32</f>
        <v>0.14499316554950822</v>
      </c>
      <c r="D43" s="171">
        <f>+D32</f>
        <v>3191395.6779567795</v>
      </c>
      <c r="F43" s="180">
        <f t="shared" si="8"/>
        <v>10237141.409765674</v>
      </c>
      <c r="G43" s="180">
        <f t="shared" si="8"/>
        <v>13295094.521918003</v>
      </c>
      <c r="H43" s="180">
        <f t="shared" si="8"/>
        <v>13966927.6302417</v>
      </c>
      <c r="J43" s="254">
        <f t="shared" si="11"/>
        <v>13428537.087722454</v>
      </c>
      <c r="K43" s="254">
        <f t="shared" si="9"/>
        <v>16486490.199874781</v>
      </c>
      <c r="L43" s="254">
        <f t="shared" si="9"/>
        <v>17158323.308198478</v>
      </c>
      <c r="N43" s="181">
        <f t="shared" si="12"/>
        <v>-4672258.78</v>
      </c>
      <c r="P43" s="254">
        <f t="shared" si="13"/>
        <v>18100795.867722455</v>
      </c>
      <c r="Q43" s="254">
        <f t="shared" si="10"/>
        <v>21158748.979874782</v>
      </c>
      <c r="R43" s="254">
        <f t="shared" si="10"/>
        <v>21830582.088198479</v>
      </c>
    </row>
    <row r="44" spans="1:18" hidden="1" x14ac:dyDescent="0.2">
      <c r="B44" s="182">
        <f>+B33</f>
        <v>0.13999316554950822</v>
      </c>
      <c r="D44" s="183">
        <f>+D33</f>
        <v>3246973.9358241763</v>
      </c>
      <c r="F44" s="184">
        <f t="shared" si="8"/>
        <v>10837338.375954181</v>
      </c>
      <c r="G44" s="184">
        <f t="shared" si="8"/>
        <v>14206954.556999827</v>
      </c>
      <c r="H44" s="184">
        <f t="shared" si="8"/>
        <v>14955770.338488303</v>
      </c>
      <c r="J44" s="255">
        <f t="shared" si="11"/>
        <v>14084312.311778357</v>
      </c>
      <c r="K44" s="255">
        <f t="shared" si="9"/>
        <v>17453928.492824003</v>
      </c>
      <c r="L44" s="255">
        <f t="shared" si="9"/>
        <v>18202744.274312481</v>
      </c>
      <c r="N44" s="185">
        <f t="shared" si="12"/>
        <v>-4672258.78</v>
      </c>
      <c r="P44" s="255">
        <f t="shared" si="13"/>
        <v>18756571.091778357</v>
      </c>
      <c r="Q44" s="255">
        <f t="shared" si="10"/>
        <v>22126187.272824004</v>
      </c>
      <c r="R44" s="255">
        <f t="shared" si="10"/>
        <v>22875003.054312482</v>
      </c>
    </row>
    <row r="46" spans="1:18" s="444" customFormat="1" x14ac:dyDescent="0.2">
      <c r="A46" s="444" t="s">
        <v>132</v>
      </c>
      <c r="B46" s="445" t="s">
        <v>206</v>
      </c>
    </row>
    <row r="47" spans="1:18" s="444" customFormat="1" x14ac:dyDescent="0.2">
      <c r="F47" s="446"/>
      <c r="G47" s="446"/>
      <c r="H47" s="446"/>
    </row>
    <row r="48" spans="1:18" s="444" customFormat="1" x14ac:dyDescent="0.2">
      <c r="E48" s="447" t="s">
        <v>207</v>
      </c>
      <c r="I48" s="447" t="s">
        <v>208</v>
      </c>
    </row>
    <row r="49" spans="2:15" s="444" customFormat="1" x14ac:dyDescent="0.2">
      <c r="B49" s="444" t="s">
        <v>197</v>
      </c>
      <c r="D49" s="448">
        <f>+F38</f>
        <v>0</v>
      </c>
      <c r="E49" s="448">
        <f>+G38</f>
        <v>0.03</v>
      </c>
      <c r="F49" s="448">
        <f>+H38</f>
        <v>3.4999999999999996E-2</v>
      </c>
      <c r="H49" s="448">
        <f>+J38</f>
        <v>0</v>
      </c>
      <c r="I49" s="448">
        <f>+K38</f>
        <v>0.03</v>
      </c>
      <c r="J49" s="448">
        <f>+L38</f>
        <v>3.4999999999999996E-2</v>
      </c>
    </row>
    <row r="50" spans="2:15" s="444" customFormat="1" ht="5.0999999999999996" customHeight="1" x14ac:dyDescent="0.2"/>
    <row r="51" spans="2:15" s="444" customFormat="1" x14ac:dyDescent="0.2">
      <c r="B51" s="448">
        <f>+B40</f>
        <v>0.15999316554950824</v>
      </c>
      <c r="D51" s="449">
        <f t="shared" ref="D51:F55" si="14">+J40/$F$14</f>
        <v>213.068831908063</v>
      </c>
      <c r="E51" s="449">
        <f t="shared" si="14"/>
        <v>255.35706161705514</v>
      </c>
      <c r="F51" s="449">
        <f t="shared" si="14"/>
        <v>264.37865852714992</v>
      </c>
      <c r="H51" s="449">
        <f t="shared" ref="H51:J55" si="15">+J40/$F$15</f>
        <v>4.1805897778066097</v>
      </c>
      <c r="I51" s="449">
        <f t="shared" si="15"/>
        <v>5.0103204299145316</v>
      </c>
      <c r="J51" s="449">
        <f t="shared" si="15"/>
        <v>5.1873317528944582</v>
      </c>
      <c r="O51" s="449"/>
    </row>
    <row r="52" spans="2:15" s="444" customFormat="1" x14ac:dyDescent="0.2">
      <c r="B52" s="448">
        <f>+B41</f>
        <v>0.15499316554950823</v>
      </c>
      <c r="D52" s="449">
        <f t="shared" si="14"/>
        <v>222.66604334350114</v>
      </c>
      <c r="E52" s="449">
        <f t="shared" si="14"/>
        <v>268.85590959965373</v>
      </c>
      <c r="F52" s="449">
        <f t="shared" si="14"/>
        <v>278.79968925099797</v>
      </c>
      <c r="H52" s="449">
        <f t="shared" si="15"/>
        <v>4.3688951421489346</v>
      </c>
      <c r="I52" s="449">
        <f t="shared" si="15"/>
        <v>5.2751791865090549</v>
      </c>
      <c r="J52" s="449">
        <f t="shared" si="15"/>
        <v>5.4702845108819247</v>
      </c>
    </row>
    <row r="53" spans="2:15" s="444" customFormat="1" x14ac:dyDescent="0.2">
      <c r="B53" s="448">
        <f>+B42</f>
        <v>0.14999316554950823</v>
      </c>
      <c r="D53" s="449">
        <f>+J42/$F$14</f>
        <v>232.95945870839387</v>
      </c>
      <c r="E53" s="449">
        <f t="shared" si="14"/>
        <v>283.54823319992101</v>
      </c>
      <c r="F53" s="449">
        <f>+L42/$F$14</f>
        <v>294.5459453842268</v>
      </c>
      <c r="H53" s="449">
        <f>+J42/$F$15</f>
        <v>4.5708606134373682</v>
      </c>
      <c r="I53" s="449">
        <f t="shared" si="15"/>
        <v>5.5634549390227184</v>
      </c>
      <c r="J53" s="449">
        <f t="shared" si="15"/>
        <v>5.7792393065683507</v>
      </c>
    </row>
    <row r="54" spans="2:15" s="444" customFormat="1" x14ac:dyDescent="0.2">
      <c r="B54" s="448">
        <f>+B43</f>
        <v>0.14499316554950822</v>
      </c>
      <c r="D54" s="449">
        <f t="shared" si="14"/>
        <v>244.02252681506499</v>
      </c>
      <c r="E54" s="449">
        <f t="shared" si="14"/>
        <v>299.59145740182657</v>
      </c>
      <c r="F54" s="449">
        <f t="shared" si="14"/>
        <v>311.79996616344425</v>
      </c>
      <c r="H54" s="449">
        <f t="shared" si="15"/>
        <v>4.7879273191763101</v>
      </c>
      <c r="I54" s="449">
        <f t="shared" si="15"/>
        <v>5.8782364981129094</v>
      </c>
      <c r="J54" s="449">
        <f t="shared" si="15"/>
        <v>6.1177777133813356</v>
      </c>
    </row>
    <row r="55" spans="2:15" s="444" customFormat="1" x14ac:dyDescent="0.2">
      <c r="B55" s="448">
        <f>+B44</f>
        <v>0.13999316554950822</v>
      </c>
      <c r="D55" s="449">
        <f t="shared" si="14"/>
        <v>255.93923271917609</v>
      </c>
      <c r="E55" s="449">
        <f t="shared" si="14"/>
        <v>317.17168488609695</v>
      </c>
      <c r="F55" s="449">
        <f t="shared" si="14"/>
        <v>330.77911791652599</v>
      </c>
      <c r="H55" s="449">
        <f t="shared" si="15"/>
        <v>5.0217431168306135</v>
      </c>
      <c r="I55" s="449">
        <f t="shared" si="15"/>
        <v>6.2231753549794462</v>
      </c>
      <c r="J55" s="449">
        <f t="shared" si="15"/>
        <v>6.4901646415858796</v>
      </c>
    </row>
    <row r="56" spans="2:15" s="444" customFormat="1" x14ac:dyDescent="0.2"/>
    <row r="57" spans="2:15" s="444" customFormat="1" x14ac:dyDescent="0.2"/>
    <row r="58" spans="2:15" s="444" customFormat="1"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&gt;&gt;Resumen </vt:lpstr>
      <vt:lpstr>&gt;&gt; PL Fuente EEFF sep 14</vt:lpstr>
      <vt:lpstr>Proyección</vt:lpstr>
      <vt:lpstr>&gt;&gt;LP Modelo </vt:lpstr>
      <vt:lpstr>Activos</vt:lpstr>
      <vt:lpstr>Pasivos</vt:lpstr>
      <vt:lpstr>WACC</vt:lpstr>
      <vt:lpstr>&gt;&gt;Ratios</vt:lpstr>
      <vt:lpstr>Flujos</vt:lpstr>
      <vt:lpstr>Multiplos</vt:lpstr>
      <vt:lpstr>V. Activos</vt:lpstr>
      <vt:lpstr>Multiplos Sector</vt:lpstr>
      <vt:lpstr>Ventas Sector</vt:lpstr>
      <vt:lpstr>DCF (2)</vt:lpstr>
      <vt:lpstr>Multiplos (2)</vt:lpstr>
      <vt:lpstr>&gt;&gt;PL Modelo  (2)</vt:lpstr>
      <vt:lpstr>Gráficas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fgaolague</dc:creator>
  <cp:lastModifiedBy>Manuel Guerrero</cp:lastModifiedBy>
  <cp:lastPrinted>2014-10-30T00:24:28Z</cp:lastPrinted>
  <dcterms:created xsi:type="dcterms:W3CDTF">2014-08-20T22:15:42Z</dcterms:created>
  <dcterms:modified xsi:type="dcterms:W3CDTF">2022-06-28T17:49:11Z</dcterms:modified>
</cp:coreProperties>
</file>