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00" windowHeight="49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<sst xmlns="http://schemas.openxmlformats.org/spreadsheetml/2006/main" count="88" uniqueCount="75">
  <si>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Income Statement</t>
  </si>
  <si>
    <t>Sales</t>
  </si>
  <si>
    <t>Assumptions</t>
  </si>
  <si>
    <t>Sales Growth %</t>
  </si>
  <si>
    <t>Price</t>
  </si>
  <si>
    <t>Inflation Rate</t>
  </si>
  <si>
    <t>Volume</t>
  </si>
  <si>
    <t>Margin</t>
  </si>
  <si>
    <t>%</t>
  </si>
  <si>
    <t>EBIT (Operating Income)</t>
  </si>
  <si>
    <t>Taxes</t>
  </si>
  <si>
    <t>Interest</t>
  </si>
  <si>
    <t xml:space="preserve">   Cost</t>
  </si>
  <si>
    <t xml:space="preserve">   SA&amp;G Expenses</t>
  </si>
  <si>
    <t>Interest Expenses</t>
  </si>
  <si>
    <t>Income before taxes</t>
  </si>
  <si>
    <t>Net Income</t>
  </si>
  <si>
    <t>Profit Margin %</t>
  </si>
  <si>
    <t>Cost (50%sales) effi.3%</t>
  </si>
  <si>
    <t>SA&amp;G (35%sales) effi.1%</t>
  </si>
  <si>
    <t>Cash &amp; Marketable S.</t>
  </si>
  <si>
    <t>Accounts Receivable</t>
  </si>
  <si>
    <t>Inventory</t>
  </si>
  <si>
    <t>Total Current</t>
  </si>
  <si>
    <t>PP&amp;E</t>
  </si>
  <si>
    <t>Deffered</t>
  </si>
  <si>
    <t>Total Assets</t>
  </si>
  <si>
    <t>Accounts Payable</t>
  </si>
  <si>
    <t>Short Term Debt</t>
  </si>
  <si>
    <t>Long Term Debt</t>
  </si>
  <si>
    <t>Share holders Equity</t>
  </si>
  <si>
    <t>Retained Earnings</t>
  </si>
  <si>
    <t>Total Liabilities &amp; Equity</t>
  </si>
  <si>
    <t>Payment</t>
  </si>
  <si>
    <t>Capital</t>
  </si>
  <si>
    <t>Balance</t>
  </si>
  <si>
    <t>Cash Flow</t>
  </si>
  <si>
    <t>IRR</t>
  </si>
  <si>
    <t>Net Present Value @ 12.0%</t>
  </si>
  <si>
    <t>Pay Back Period</t>
  </si>
  <si>
    <t>Accumulated Cash Flow</t>
  </si>
  <si>
    <t>3 Years &amp; 8 Months</t>
  </si>
  <si>
    <t>Discounted Cash Flow</t>
  </si>
  <si>
    <t>Account Receivables months</t>
  </si>
  <si>
    <t>Profit Margin</t>
  </si>
  <si>
    <t>Return on Assets</t>
  </si>
  <si>
    <t>Return on Equity</t>
  </si>
  <si>
    <t>Profitability Ratios</t>
  </si>
  <si>
    <t>Assets Utilization Ratios</t>
  </si>
  <si>
    <t>Recievables Turnover</t>
  </si>
  <si>
    <t>Average Collection Period</t>
  </si>
  <si>
    <t>Inventory Turn Over</t>
  </si>
  <si>
    <t>Fixed Assets Turnover</t>
  </si>
  <si>
    <t>Total Assets Turnover</t>
  </si>
  <si>
    <t>Liquidity Ratios</t>
  </si>
  <si>
    <t>Current Ratio</t>
  </si>
  <si>
    <t>Quick Ratio</t>
  </si>
  <si>
    <t>Debt Utilization Ratios</t>
  </si>
  <si>
    <t>Debt to Total Assets</t>
  </si>
  <si>
    <t>Times Interest Earned</t>
  </si>
  <si>
    <t>Fixed Charge Coverage</t>
  </si>
  <si>
    <t>Du Pont Analysis</t>
  </si>
  <si>
    <t>Times</t>
  </si>
  <si>
    <t>Days</t>
  </si>
  <si>
    <t>Average Inventory Period</t>
  </si>
  <si>
    <t>NA</t>
  </si>
  <si>
    <t>Sales / Total Assets = Assets Turnover</t>
  </si>
  <si>
    <t>Net Income / Sales = Profit Margin X</t>
  </si>
  <si>
    <t>=</t>
  </si>
  <si>
    <t>Total Debt / Total Assets = Financial Plan</t>
  </si>
  <si>
    <t xml:space="preserve"> Return on Assets / (1- Financial Plan) =</t>
  </si>
  <si>
    <t xml:space="preserve">ABC Enterprises </t>
  </si>
  <si>
    <t>Account Payable months</t>
  </si>
  <si>
    <t>Inventory Months</t>
  </si>
  <si>
    <t>Three Year Financial Planning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</si>
</sst>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0.0%"/>
    <numFmt numFmtId="166" formatCode="#,##0.0"/>
    <numFmt numFmtId="167" formatCode="_-* #,##0.0_-;\-* #,##0.0_-;_-* &quot;-&quot;??_-;_-@_-"/>
    <numFmt numFmtId="168" formatCode="_-* #,##0_-;\-* #,##0_-;_-* &quot;-&quot;??_-;_-@_-"/>
    <numFmt numFmtId="169" formatCode="0.000%"/>
    <numFmt numFmtId="170" formatCode="0.0000%"/>
    <numFmt numFmtId="171" formatCode="_-* #,##0.0_-;\-* #,##0.0_-;_-* &quot;-&quot;?_-;_-@_-"/>
    <numFmt numFmtId="172" formatCode="_-* #,##0_-;\-* #,##0_-;_-* &quot;-&quot;?_-;_-@_-"/>
    <numFmt numFmtId="173" formatCode="_-* #,##0.000_-;\-* #,##0.000_-;_-* &quot;-&quot;??_-;_-@_-"/>
    <numFmt numFmtId="174" formatCode="_-* #,##0.0000_-;\-* #,##0.0000_-;_-* &quot;-&quot;??_-;_-@_-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1" fillId="0" borderId="0" xfId="53" applyFont="1" applyAlignment="1">
      <alignment/>
    </xf>
    <xf numFmtId="3" fontId="1" fillId="0" borderId="0" xfId="0" applyNumberFormat="1" applyFont="1" applyAlignment="1">
      <alignment/>
    </xf>
    <xf numFmtId="165" fontId="1" fillId="0" borderId="0" xfId="53" applyNumberFormat="1" applyFont="1" applyAlignment="1">
      <alignment/>
    </xf>
    <xf numFmtId="166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8" fontId="1" fillId="0" borderId="0" xfId="47" applyNumberFormat="1" applyFont="1" applyAlignment="1">
      <alignment/>
    </xf>
    <xf numFmtId="10" fontId="1" fillId="0" borderId="0" xfId="53" applyNumberFormat="1" applyFont="1" applyAlignment="1">
      <alignment/>
    </xf>
    <xf numFmtId="170" fontId="1" fillId="0" borderId="0" xfId="53" applyNumberFormat="1" applyFont="1" applyAlignment="1">
      <alignment/>
    </xf>
    <xf numFmtId="172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Alignment="1">
      <alignment/>
    </xf>
    <xf numFmtId="168" fontId="1" fillId="0" borderId="0" xfId="47" applyNumberFormat="1" applyFont="1" applyAlignment="1">
      <alignment horizontal="left"/>
    </xf>
    <xf numFmtId="1" fontId="1" fillId="0" borderId="0" xfId="47" applyNumberFormat="1" applyFont="1" applyAlignment="1">
      <alignment/>
    </xf>
    <xf numFmtId="10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167" fontId="1" fillId="0" borderId="0" xfId="47" applyNumberFormat="1" applyFont="1" applyAlignment="1">
      <alignment/>
    </xf>
    <xf numFmtId="165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120" zoomScaleNormal="120" zoomScalePageLayoutView="0" workbookViewId="0" topLeftCell="A37">
      <selection activeCell="F53" sqref="F53"/>
    </sheetView>
  </sheetViews>
  <sheetFormatPr defaultColWidth="11.421875" defaultRowHeight="12.75"/>
  <cols>
    <col min="1" max="1" width="25.57421875" style="1" customWidth="1"/>
    <col min="2" max="2" width="13.57421875" style="1" customWidth="1"/>
    <col min="3" max="3" width="9.140625" style="1" customWidth="1"/>
    <col min="4" max="6" width="8.7109375" style="1" customWidth="1"/>
    <col min="7" max="7" width="23.7109375" style="1" customWidth="1"/>
    <col min="8" max="8" width="12.140625" style="1" customWidth="1"/>
    <col min="9" max="16384" width="11.421875" style="1" customWidth="1"/>
  </cols>
  <sheetData>
    <row r="1" spans="1:2" ht="12.75">
      <c r="A1" s="1" t="s">
        <v>71</v>
      </c>
      <c r="B1" s="1" t="s">
        <v>74</v>
      </c>
    </row>
    <row r="2" spans="1:3" ht="12.75">
      <c r="A2" s="2">
        <v>44607</v>
      </c>
      <c r="B2" s="2"/>
      <c r="C2" s="2"/>
    </row>
    <row r="3" spans="1:6" ht="12.75">
      <c r="A3" s="1" t="s">
        <v>2</v>
      </c>
      <c r="C3" s="3">
        <v>0</v>
      </c>
      <c r="D3" s="3">
        <v>1</v>
      </c>
      <c r="E3" s="3">
        <v>2</v>
      </c>
      <c r="F3" s="3">
        <v>3</v>
      </c>
    </row>
    <row r="4" spans="1:6" ht="12.75">
      <c r="A4" s="1" t="s">
        <v>5</v>
      </c>
      <c r="C4" s="2"/>
      <c r="D4" s="6">
        <v>0.065</v>
      </c>
      <c r="E4" s="6">
        <v>0.053</v>
      </c>
      <c r="F4" s="6">
        <v>0.042</v>
      </c>
    </row>
    <row r="5" spans="1:6" ht="12.75">
      <c r="A5" s="1" t="s">
        <v>3</v>
      </c>
      <c r="C5" s="2"/>
      <c r="D5" s="4">
        <v>0.07</v>
      </c>
      <c r="E5" s="4">
        <v>0.1</v>
      </c>
      <c r="F5" s="4">
        <v>0.15</v>
      </c>
    </row>
    <row r="6" spans="1:6" ht="12.75">
      <c r="A6" s="1" t="s">
        <v>4</v>
      </c>
      <c r="C6" s="7">
        <v>400</v>
      </c>
      <c r="D6" s="7">
        <f aca="true" t="shared" si="0" ref="D6:F7">C6*(1+D4)</f>
        <v>426</v>
      </c>
      <c r="E6" s="7">
        <f t="shared" si="0"/>
        <v>448.578</v>
      </c>
      <c r="F6" s="7">
        <f>E6*(1+F4)</f>
        <v>467.418276</v>
      </c>
    </row>
    <row r="7" spans="1:6" ht="12.75">
      <c r="A7" s="1" t="s">
        <v>6</v>
      </c>
      <c r="C7" s="5">
        <v>100</v>
      </c>
      <c r="D7" s="1">
        <f>C7*(1+D5)</f>
        <v>107</v>
      </c>
      <c r="E7" s="8">
        <f t="shared" si="0"/>
        <v>117.7</v>
      </c>
      <c r="F7" s="8">
        <f t="shared" si="0"/>
        <v>135.355</v>
      </c>
    </row>
    <row r="8" spans="1:6" ht="12.75">
      <c r="A8" s="1" t="s">
        <v>18</v>
      </c>
      <c r="C8" s="6">
        <v>0.5</v>
      </c>
      <c r="D8" s="10">
        <f>C8*0.97</f>
        <v>0.485</v>
      </c>
      <c r="E8" s="6">
        <f>D8*0.97</f>
        <v>0.47045</v>
      </c>
      <c r="F8" s="6">
        <f>E8*0.97</f>
        <v>0.4563365</v>
      </c>
    </row>
    <row r="9" spans="1:6" ht="12.75">
      <c r="A9" s="1" t="s">
        <v>19</v>
      </c>
      <c r="C9" s="6">
        <v>0.35</v>
      </c>
      <c r="D9" s="10">
        <f>C9*0.99</f>
        <v>0.3465</v>
      </c>
      <c r="E9" s="10">
        <f>D9*0.99</f>
        <v>0.343035</v>
      </c>
      <c r="F9" s="10">
        <f>E9*0.99</f>
        <v>0.33960464999999995</v>
      </c>
    </row>
    <row r="10" spans="1:6" ht="12.75">
      <c r="A10" s="1" t="s">
        <v>43</v>
      </c>
      <c r="C10" s="19">
        <v>1.3</v>
      </c>
      <c r="D10" s="19">
        <v>2</v>
      </c>
      <c r="E10" s="19">
        <v>3</v>
      </c>
      <c r="F10" s="19">
        <v>2</v>
      </c>
    </row>
    <row r="11" spans="1:6" ht="12.75">
      <c r="A11" s="1" t="s">
        <v>72</v>
      </c>
      <c r="C11" s="19">
        <v>2</v>
      </c>
      <c r="D11" s="19">
        <v>1.8</v>
      </c>
      <c r="E11" s="19">
        <v>1.8</v>
      </c>
      <c r="F11" s="19">
        <v>1.5</v>
      </c>
    </row>
    <row r="12" spans="1:6" ht="12.75">
      <c r="A12" s="1" t="s">
        <v>73</v>
      </c>
      <c r="C12" s="19">
        <v>3</v>
      </c>
      <c r="D12" s="19">
        <v>3</v>
      </c>
      <c r="E12" s="19">
        <v>3</v>
      </c>
      <c r="F12" s="19">
        <v>3</v>
      </c>
    </row>
    <row r="13" spans="1:8" ht="12.75">
      <c r="A13" s="1" t="s">
        <v>10</v>
      </c>
      <c r="C13" s="6">
        <v>0.3</v>
      </c>
      <c r="D13" s="6">
        <v>0.3</v>
      </c>
      <c r="E13" s="6">
        <v>0.3</v>
      </c>
      <c r="F13" s="6">
        <v>0.3</v>
      </c>
      <c r="H13" s="15"/>
    </row>
    <row r="14" spans="1:11" ht="12.75">
      <c r="A14" s="1" t="s">
        <v>11</v>
      </c>
      <c r="C14" s="6">
        <v>0.08</v>
      </c>
      <c r="D14" s="6">
        <f>C14</f>
        <v>0.08</v>
      </c>
      <c r="E14" s="6">
        <f>D14</f>
        <v>0.08</v>
      </c>
      <c r="F14" s="6">
        <f>E14</f>
        <v>0.08</v>
      </c>
      <c r="G14" s="3"/>
      <c r="H14" s="3">
        <v>0</v>
      </c>
      <c r="I14" s="3">
        <v>1</v>
      </c>
      <c r="J14" s="3">
        <v>2</v>
      </c>
      <c r="K14" s="3">
        <v>3</v>
      </c>
    </row>
    <row r="15" spans="3:7" ht="12.75">
      <c r="C15" s="6"/>
      <c r="D15" s="11"/>
      <c r="E15" s="6"/>
      <c r="F15" s="6"/>
      <c r="G15" s="3"/>
    </row>
    <row r="16" spans="3:11" ht="12.75">
      <c r="C16" s="2"/>
      <c r="D16" s="11"/>
      <c r="G16" s="1" t="s">
        <v>20</v>
      </c>
      <c r="H16" s="15">
        <v>7112</v>
      </c>
      <c r="I16" s="15">
        <f>9319-84</f>
        <v>9235</v>
      </c>
      <c r="J16" s="15">
        <f>10268-168</f>
        <v>10100</v>
      </c>
      <c r="K16" s="15">
        <f>19589-266</f>
        <v>19323</v>
      </c>
    </row>
    <row r="17" spans="3:11" ht="12.75">
      <c r="C17" s="3">
        <v>0</v>
      </c>
      <c r="D17" s="3">
        <v>1</v>
      </c>
      <c r="E17" s="3">
        <v>2</v>
      </c>
      <c r="F17" s="3">
        <v>3</v>
      </c>
      <c r="G17" s="1" t="s">
        <v>21</v>
      </c>
      <c r="H17" s="15">
        <f>(C19/12)*C10</f>
        <v>4333.333333333334</v>
      </c>
      <c r="I17" s="15">
        <f>(D19/12)*D10</f>
        <v>7597</v>
      </c>
      <c r="J17" s="15">
        <f>(E19/12)*E10</f>
        <v>13199.407649999997</v>
      </c>
      <c r="K17" s="15">
        <f>(F19/12)*F10</f>
        <v>10544.566791329999</v>
      </c>
    </row>
    <row r="18" spans="1:11" ht="12.75">
      <c r="A18" s="14" t="s">
        <v>0</v>
      </c>
      <c r="B18" s="14"/>
      <c r="G18" s="1" t="s">
        <v>22</v>
      </c>
      <c r="H18" s="15">
        <f>(((C20+C19)/2)/12)*C12</f>
        <v>7500</v>
      </c>
      <c r="I18" s="15">
        <f>(((D20+D19)/2)/12)*D12</f>
        <v>8461.15875</v>
      </c>
      <c r="J18" s="15">
        <f>(((E20+E19)/2)/12)*E12</f>
        <v>9704.534489471249</v>
      </c>
      <c r="K18" s="15">
        <f>(((F20+F19)/2)/12)*F12</f>
        <v>11517.32812117632</v>
      </c>
    </row>
    <row r="19" spans="1:11" ht="12.75">
      <c r="A19" s="1" t="s">
        <v>1</v>
      </c>
      <c r="C19" s="9">
        <f>C7*C6</f>
        <v>40000</v>
      </c>
      <c r="D19" s="9">
        <f>D7*D6</f>
        <v>45582</v>
      </c>
      <c r="E19" s="9">
        <f>E7*E6</f>
        <v>52797.6306</v>
      </c>
      <c r="F19" s="9">
        <f>F7*F6</f>
        <v>63267.40074797999</v>
      </c>
      <c r="G19" s="1" t="s">
        <v>23</v>
      </c>
      <c r="H19" s="15">
        <f>H18+H17+H16</f>
        <v>18945.333333333336</v>
      </c>
      <c r="I19" s="15">
        <f>I18+I17+I16</f>
        <v>25293.158750000002</v>
      </c>
      <c r="J19" s="15">
        <f>J18+J17+J16</f>
        <v>33003.94213947125</v>
      </c>
      <c r="K19" s="15">
        <f>K18+K17+K16</f>
        <v>41384.89491250632</v>
      </c>
    </row>
    <row r="20" spans="1:8" ht="12.75">
      <c r="A20" s="1" t="s">
        <v>12</v>
      </c>
      <c r="C20" s="12">
        <f>C19*C8</f>
        <v>20000</v>
      </c>
      <c r="D20" s="12">
        <f>D19*D8</f>
        <v>22107.27</v>
      </c>
      <c r="E20" s="12">
        <f>E19*E8</f>
        <v>24838.645315769998</v>
      </c>
      <c r="F20" s="12">
        <f>F19*F8</f>
        <v>28871.22422143057</v>
      </c>
      <c r="H20" s="15"/>
    </row>
    <row r="21" spans="7:11" ht="12.75">
      <c r="G21" s="1" t="s">
        <v>24</v>
      </c>
      <c r="H21" s="15">
        <v>15000</v>
      </c>
      <c r="I21" s="12">
        <f>H21*0.9</f>
        <v>13500</v>
      </c>
      <c r="J21" s="12">
        <f>I21*0.9</f>
        <v>12150</v>
      </c>
      <c r="K21" s="12">
        <f>J21*0.9</f>
        <v>10935</v>
      </c>
    </row>
    <row r="22" spans="1:11" ht="12.75">
      <c r="A22" s="1" t="s">
        <v>7</v>
      </c>
      <c r="C22" s="13">
        <f>C19-C20</f>
        <v>20000</v>
      </c>
      <c r="D22" s="13">
        <f>D19-D20</f>
        <v>23474.73</v>
      </c>
      <c r="E22" s="13">
        <f>E19-E20</f>
        <v>27958.98528423</v>
      </c>
      <c r="F22" s="13">
        <f>F19-F20</f>
        <v>34396.17652654942</v>
      </c>
      <c r="G22" s="1" t="s">
        <v>25</v>
      </c>
      <c r="H22" s="15">
        <v>4000</v>
      </c>
      <c r="I22" s="13">
        <f>H22*0.7</f>
        <v>2800</v>
      </c>
      <c r="J22" s="13">
        <f>I22*0.7</f>
        <v>1959.9999999999998</v>
      </c>
      <c r="K22" s="13">
        <f>J22*0.7</f>
        <v>1371.9999999999998</v>
      </c>
    </row>
    <row r="23" spans="1:11" ht="12.75">
      <c r="A23" s="1" t="s">
        <v>8</v>
      </c>
      <c r="C23" s="6">
        <f>C22/C19</f>
        <v>0.5</v>
      </c>
      <c r="D23" s="6">
        <f>D22/D19</f>
        <v>0.515</v>
      </c>
      <c r="E23" s="6">
        <f>E22/E19</f>
        <v>0.52955</v>
      </c>
      <c r="F23" s="6">
        <f>F22/F19</f>
        <v>0.5436635</v>
      </c>
      <c r="G23" s="1" t="s">
        <v>26</v>
      </c>
      <c r="H23" s="15">
        <f>H19+H21+H22</f>
        <v>37945.333333333336</v>
      </c>
      <c r="I23" s="15">
        <f>I19+I21+I22</f>
        <v>41593.15875</v>
      </c>
      <c r="J23" s="15">
        <f>J19+J21+J22</f>
        <v>47113.94213947125</v>
      </c>
      <c r="K23" s="15">
        <f>K19+K21+K22</f>
        <v>53691.89491250632</v>
      </c>
    </row>
    <row r="24" spans="1:8" ht="12.75">
      <c r="A24" s="1" t="s">
        <v>13</v>
      </c>
      <c r="C24" s="12">
        <f>C19*C9</f>
        <v>14000</v>
      </c>
      <c r="D24" s="12">
        <f>D19*D9</f>
        <v>15794.162999999999</v>
      </c>
      <c r="E24" s="12">
        <f>E19*E9</f>
        <v>18111.435212870998</v>
      </c>
      <c r="F24" s="12">
        <f>F19*F9</f>
        <v>21485.90348742748</v>
      </c>
      <c r="H24" s="15"/>
    </row>
    <row r="25" spans="7:11" ht="12.75">
      <c r="G25" s="1" t="s">
        <v>27</v>
      </c>
      <c r="H25" s="15">
        <f>(C20/12)*C11</f>
        <v>3333.3333333333335</v>
      </c>
      <c r="I25" s="15">
        <f>(D20/12)*D11</f>
        <v>3316.0905000000002</v>
      </c>
      <c r="J25" s="15">
        <f>(E20/12)*E11</f>
        <v>3725.7967973655</v>
      </c>
      <c r="K25" s="15">
        <f>(F20/12)*F11</f>
        <v>3608.903027678821</v>
      </c>
    </row>
    <row r="26" spans="1:11" ht="12.75">
      <c r="A26" s="1" t="s">
        <v>9</v>
      </c>
      <c r="C26" s="13">
        <f>C22-C24</f>
        <v>6000</v>
      </c>
      <c r="D26" s="13">
        <f>D22-D24</f>
        <v>7680.567000000001</v>
      </c>
      <c r="E26" s="13">
        <f>E22-E24</f>
        <v>9847.550071359</v>
      </c>
      <c r="F26" s="13">
        <f>F22-F24</f>
        <v>12910.273039121937</v>
      </c>
      <c r="G26" s="1" t="s">
        <v>28</v>
      </c>
      <c r="H26" s="15">
        <v>1000</v>
      </c>
      <c r="I26" s="15">
        <v>2000</v>
      </c>
      <c r="J26" s="15">
        <v>3000</v>
      </c>
      <c r="K26" s="15">
        <v>3500</v>
      </c>
    </row>
    <row r="27" spans="1:12" ht="12.75">
      <c r="A27" s="1" t="s">
        <v>8</v>
      </c>
      <c r="C27" s="6">
        <f>C26/C19</f>
        <v>0.15</v>
      </c>
      <c r="D27" s="6">
        <f>D26/D19</f>
        <v>0.1685</v>
      </c>
      <c r="E27" s="6">
        <f>E26/E19</f>
        <v>0.18651500000000001</v>
      </c>
      <c r="F27" s="6">
        <f>F26/F19</f>
        <v>0.20405885</v>
      </c>
      <c r="G27" s="1" t="s">
        <v>29</v>
      </c>
      <c r="H27" s="15">
        <v>10000</v>
      </c>
      <c r="I27" s="13">
        <f>K36</f>
        <v>7780.7919554596065</v>
      </c>
      <c r="J27" s="13">
        <f>K37</f>
        <v>5384.047267355982</v>
      </c>
      <c r="K27" s="13">
        <f>K38</f>
        <v>2795.563004204067</v>
      </c>
      <c r="L27" s="13"/>
    </row>
    <row r="28" spans="1:12" ht="12.75">
      <c r="A28" s="1" t="s">
        <v>14</v>
      </c>
      <c r="C28" s="13">
        <f>(J36)+((H26/2)*$C$14)</f>
        <v>840</v>
      </c>
      <c r="D28" s="13">
        <f>(J37)+((I26/2)*$C$14)</f>
        <v>702.4633564367685</v>
      </c>
      <c r="E28" s="13">
        <f>(J38)+((J26/2)*$C$14)</f>
        <v>550.7237813884785</v>
      </c>
      <c r="F28" s="13">
        <f>(J39)+((K26/2)*$C$14)</f>
        <v>363.64504033632534</v>
      </c>
      <c r="H28" s="15"/>
      <c r="I28" s="13"/>
      <c r="J28" s="13"/>
      <c r="K28" s="13"/>
      <c r="L28" s="13"/>
    </row>
    <row r="29" spans="1:12" ht="12.75">
      <c r="A29" s="1" t="s">
        <v>15</v>
      </c>
      <c r="C29" s="13">
        <f>C26-C28</f>
        <v>5160</v>
      </c>
      <c r="D29" s="13">
        <f>D26-D28</f>
        <v>6978.103643563232</v>
      </c>
      <c r="E29" s="13">
        <f>E26-E28</f>
        <v>9296.826289970522</v>
      </c>
      <c r="F29" s="13">
        <f>F26-F28</f>
        <v>12546.627998785612</v>
      </c>
      <c r="G29" s="1" t="s">
        <v>30</v>
      </c>
      <c r="H29" s="15">
        <v>20000</v>
      </c>
      <c r="I29" s="15">
        <v>20000</v>
      </c>
      <c r="J29" s="15">
        <v>20000</v>
      </c>
      <c r="K29" s="15">
        <v>20000</v>
      </c>
      <c r="L29" s="15">
        <v>20000</v>
      </c>
    </row>
    <row r="30" spans="1:12" ht="12.75">
      <c r="A30" s="1" t="s">
        <v>10</v>
      </c>
      <c r="C30" s="12">
        <f>C29*C13</f>
        <v>1548</v>
      </c>
      <c r="D30" s="12">
        <f>D29*D13</f>
        <v>2093.4310930689694</v>
      </c>
      <c r="E30" s="12">
        <f>E29*E13</f>
        <v>2789.0478869911567</v>
      </c>
      <c r="F30" s="12">
        <f>F29*F13</f>
        <v>3763.9883996356834</v>
      </c>
      <c r="G30" s="1" t="s">
        <v>31</v>
      </c>
      <c r="H30" s="15">
        <f>C31</f>
        <v>3612</v>
      </c>
      <c r="I30" s="13">
        <f>H30+D31</f>
        <v>8496.672550494262</v>
      </c>
      <c r="J30" s="13">
        <f>I30+E31</f>
        <v>15004.450953473628</v>
      </c>
      <c r="K30" s="13">
        <f>J30+F31</f>
        <v>23787.09055262356</v>
      </c>
      <c r="L30" s="13"/>
    </row>
    <row r="31" spans="1:12" ht="12.75">
      <c r="A31" s="1" t="s">
        <v>16</v>
      </c>
      <c r="C31" s="13">
        <f>C29-C30</f>
        <v>3612</v>
      </c>
      <c r="D31" s="13">
        <f>D29-D30</f>
        <v>4884.672550494262</v>
      </c>
      <c r="E31" s="13">
        <f>E29-E30</f>
        <v>6507.778402979366</v>
      </c>
      <c r="F31" s="13">
        <f>F29-F30</f>
        <v>8782.639599149928</v>
      </c>
      <c r="G31" s="13"/>
      <c r="H31" s="15"/>
      <c r="I31" s="13"/>
      <c r="J31" s="13"/>
      <c r="K31" s="13"/>
      <c r="L31" s="13"/>
    </row>
    <row r="32" spans="1:12" ht="12.75">
      <c r="A32" s="1" t="s">
        <v>17</v>
      </c>
      <c r="C32" s="6">
        <f>C31/C19</f>
        <v>0.0903</v>
      </c>
      <c r="D32" s="6">
        <f>D31/D19</f>
        <v>0.10716231298526309</v>
      </c>
      <c r="E32" s="6">
        <f>E31/E19</f>
        <v>0.12325891008789637</v>
      </c>
      <c r="F32" s="6">
        <f>F31/F19</f>
        <v>0.138817771795854</v>
      </c>
      <c r="G32" s="1" t="s">
        <v>32</v>
      </c>
      <c r="H32" s="15">
        <f>H25+H26+H27+H29+H30</f>
        <v>37945.333333333336</v>
      </c>
      <c r="I32" s="15">
        <f>I25+I26+I27+I29+I30</f>
        <v>41593.555005953865</v>
      </c>
      <c r="J32" s="15">
        <f>J25+J26+J27+J29+J30</f>
        <v>47114.29501819511</v>
      </c>
      <c r="K32" s="15">
        <f>K25+K26+K27+K29+K30</f>
        <v>53691.55658450645</v>
      </c>
      <c r="L32" s="13"/>
    </row>
    <row r="33" spans="8:12" ht="12.75">
      <c r="H33" s="16">
        <f>H23-H32</f>
        <v>0</v>
      </c>
      <c r="I33" s="16">
        <f>I23-I32</f>
        <v>-0.3962559538631467</v>
      </c>
      <c r="J33" s="16">
        <f>J23-J32</f>
        <v>-0.35287872386106756</v>
      </c>
      <c r="K33" s="16">
        <f>K23-K32</f>
        <v>0.33832799987430917</v>
      </c>
      <c r="L33" s="13"/>
    </row>
    <row r="34" spans="8:12" ht="12.75">
      <c r="H34" s="13"/>
      <c r="I34" s="13"/>
      <c r="J34" s="13"/>
      <c r="K34" s="13"/>
      <c r="L34" s="13"/>
    </row>
    <row r="35" spans="1:12" ht="12.75">
      <c r="A35" s="1" t="s">
        <v>36</v>
      </c>
      <c r="B35" s="13">
        <f>H29*-1</f>
        <v>-20000</v>
      </c>
      <c r="C35" s="13">
        <f>C31+(H21-I21)</f>
        <v>5112</v>
      </c>
      <c r="D35" s="13">
        <f>D31+(I21-J21)</f>
        <v>6234.672550494262</v>
      </c>
      <c r="E35" s="13">
        <f>E31+(J21-K21)</f>
        <v>7722.778402979366</v>
      </c>
      <c r="F35" s="13">
        <f>F31</f>
        <v>8782.639599149928</v>
      </c>
      <c r="H35" s="13" t="s">
        <v>33</v>
      </c>
      <c r="I35" s="13" t="s">
        <v>34</v>
      </c>
      <c r="J35" s="13" t="s">
        <v>11</v>
      </c>
      <c r="K35" s="13" t="s">
        <v>35</v>
      </c>
      <c r="L35" s="13"/>
    </row>
    <row r="36" spans="1:12" ht="12.75">
      <c r="A36" s="1" t="s">
        <v>40</v>
      </c>
      <c r="B36" s="13">
        <f>B35</f>
        <v>-20000</v>
      </c>
      <c r="C36" s="13">
        <f>B36+C35</f>
        <v>-14888</v>
      </c>
      <c r="D36" s="13">
        <f>C36+D35</f>
        <v>-8653.327449505738</v>
      </c>
      <c r="E36" s="13">
        <f>D36+E35</f>
        <v>-930.549046526372</v>
      </c>
      <c r="F36" s="13">
        <f>E36+F35</f>
        <v>7852.0905526235565</v>
      </c>
      <c r="G36" s="1">
        <v>0</v>
      </c>
      <c r="H36" s="13">
        <f>PMT(C14,G39+1,H27*-1)</f>
        <v>3019.208044540393</v>
      </c>
      <c r="I36" s="13">
        <f>H36-J36</f>
        <v>2219.208044540393</v>
      </c>
      <c r="J36" s="13">
        <f>H27*C$14</f>
        <v>800</v>
      </c>
      <c r="K36" s="13">
        <f>H27-I36</f>
        <v>7780.7919554596065</v>
      </c>
      <c r="L36" s="13"/>
    </row>
    <row r="37" spans="1:12" ht="12.75">
      <c r="A37" s="1" t="s">
        <v>42</v>
      </c>
      <c r="G37" s="1">
        <v>1</v>
      </c>
      <c r="H37" s="13">
        <f>H36</f>
        <v>3019.208044540393</v>
      </c>
      <c r="I37" s="13">
        <f>H37-J37</f>
        <v>2396.7446881036244</v>
      </c>
      <c r="J37" s="13">
        <f>K36*D14</f>
        <v>622.4633564367685</v>
      </c>
      <c r="K37" s="13">
        <f>K36-I37</f>
        <v>5384.047267355982</v>
      </c>
      <c r="L37" s="13"/>
    </row>
    <row r="38" spans="1:12" ht="12.75">
      <c r="A38" s="1" t="s">
        <v>37</v>
      </c>
      <c r="B38" s="17">
        <f>IRR(B35:F35,0.1)</f>
        <v>0.1331840224767582</v>
      </c>
      <c r="G38" s="1">
        <v>2</v>
      </c>
      <c r="H38" s="13">
        <f>H37</f>
        <v>3019.208044540393</v>
      </c>
      <c r="I38" s="13">
        <f>H38-J38</f>
        <v>2588.4842631519145</v>
      </c>
      <c r="J38" s="13">
        <f>K37*E14</f>
        <v>430.7237813884785</v>
      </c>
      <c r="K38" s="13">
        <f>K37-I38</f>
        <v>2795.563004204067</v>
      </c>
      <c r="L38" s="13"/>
    </row>
    <row r="39" spans="1:12" ht="12.75">
      <c r="A39" s="1" t="s">
        <v>38</v>
      </c>
      <c r="B39" s="18">
        <f>NPV(C14,B35:F35)</f>
        <v>2467.2712231562423</v>
      </c>
      <c r="G39" s="1">
        <v>3</v>
      </c>
      <c r="H39" s="13">
        <f>H38</f>
        <v>3019.208044540393</v>
      </c>
      <c r="I39" s="13">
        <f>H39-J39</f>
        <v>2795.5630042040675</v>
      </c>
      <c r="J39" s="13">
        <f>K38*E14</f>
        <v>223.64504033632537</v>
      </c>
      <c r="K39" s="13">
        <f>K38-I39</f>
        <v>0</v>
      </c>
      <c r="L39" s="13"/>
    </row>
    <row r="40" spans="1:12" ht="12.75">
      <c r="A40" s="1" t="s">
        <v>39</v>
      </c>
      <c r="B40" s="8">
        <f>(E36/F35)*12</f>
        <v>-1.2714387778586835</v>
      </c>
      <c r="C40" s="1" t="s">
        <v>41</v>
      </c>
      <c r="H40" s="13"/>
      <c r="I40" s="13"/>
      <c r="J40" s="13"/>
      <c r="K40" s="13"/>
      <c r="L40" s="13"/>
    </row>
    <row r="41" spans="8:12" ht="12.75">
      <c r="H41" s="13"/>
      <c r="I41" s="13"/>
      <c r="J41" s="13"/>
      <c r="K41" s="13"/>
      <c r="L41" s="13"/>
    </row>
    <row r="42" spans="8:12" ht="12.75">
      <c r="H42" s="13"/>
      <c r="I42" s="13"/>
      <c r="J42" s="13"/>
      <c r="K42" s="13"/>
      <c r="L42" s="13"/>
    </row>
    <row r="43" spans="1:12" ht="12.75">
      <c r="A43" s="14" t="s">
        <v>47</v>
      </c>
      <c r="C43" s="3">
        <v>0</v>
      </c>
      <c r="D43" s="3">
        <v>1</v>
      </c>
      <c r="E43" s="3">
        <v>2</v>
      </c>
      <c r="F43" s="3">
        <v>3</v>
      </c>
      <c r="H43" s="13"/>
      <c r="I43" s="13"/>
      <c r="J43" s="13"/>
      <c r="K43" s="13"/>
      <c r="L43" s="13"/>
    </row>
    <row r="44" spans="1:12" ht="12.75">
      <c r="A44" s="1" t="s">
        <v>44</v>
      </c>
      <c r="C44" s="20">
        <f>C32</f>
        <v>0.0903</v>
      </c>
      <c r="D44" s="20">
        <f>D32</f>
        <v>0.10716231298526309</v>
      </c>
      <c r="E44" s="20">
        <f>E32</f>
        <v>0.12325891008789637</v>
      </c>
      <c r="F44" s="20">
        <f>F32</f>
        <v>0.138817771795854</v>
      </c>
      <c r="H44" s="13"/>
      <c r="I44" s="13"/>
      <c r="J44" s="13"/>
      <c r="K44" s="13"/>
      <c r="L44" s="13"/>
    </row>
    <row r="45" spans="1:12" ht="12.75">
      <c r="A45" s="1" t="s">
        <v>45</v>
      </c>
      <c r="C45" s="6">
        <f>C31/H23</f>
        <v>0.09518957096173442</v>
      </c>
      <c r="D45" s="6">
        <f>D31/I23</f>
        <v>0.11743932649727552</v>
      </c>
      <c r="E45" s="6">
        <f>E31/J23</f>
        <v>0.13812850522493766</v>
      </c>
      <c r="F45" s="6">
        <f>F31/K23</f>
        <v>0.16357477443218735</v>
      </c>
      <c r="H45" s="13"/>
      <c r="I45" s="13"/>
      <c r="J45" s="13"/>
      <c r="K45" s="13"/>
      <c r="L45" s="13"/>
    </row>
    <row r="46" spans="1:12" ht="12.75">
      <c r="A46" s="1" t="s">
        <v>46</v>
      </c>
      <c r="C46" s="6">
        <f>C31/(H29+H30)</f>
        <v>0.15297306454345247</v>
      </c>
      <c r="D46" s="6">
        <f>D31/(I29+I30)</f>
        <v>0.17141203211844955</v>
      </c>
      <c r="E46" s="6">
        <f>E31/(J29+J30)</f>
        <v>0.18591288323959765</v>
      </c>
      <c r="F46" s="6">
        <f>F31/(K29+K30)</f>
        <v>0.20057600284254798</v>
      </c>
      <c r="H46" s="13"/>
      <c r="I46" s="13"/>
      <c r="J46" s="13"/>
      <c r="K46" s="13"/>
      <c r="L46" s="13"/>
    </row>
    <row r="47" spans="3:12" ht="12.75">
      <c r="C47" s="24"/>
      <c r="H47" s="13"/>
      <c r="I47" s="13"/>
      <c r="J47" s="13"/>
      <c r="K47" s="13"/>
      <c r="L47" s="13"/>
    </row>
    <row r="48" ht="12.75">
      <c r="A48" s="14" t="s">
        <v>48</v>
      </c>
    </row>
    <row r="49" spans="1:6" ht="12.75">
      <c r="A49" s="1" t="s">
        <v>49</v>
      </c>
      <c r="B49" s="1" t="s">
        <v>62</v>
      </c>
      <c r="C49" s="21">
        <f>C19/H17</f>
        <v>9.23076923076923</v>
      </c>
      <c r="D49" s="21">
        <f>D19/I17</f>
        <v>6</v>
      </c>
      <c r="E49" s="21">
        <f>E19/J17</f>
        <v>4.000000000000001</v>
      </c>
      <c r="F49" s="21">
        <f>F19/K17</f>
        <v>6</v>
      </c>
    </row>
    <row r="50" spans="1:6" ht="12.75">
      <c r="A50" s="1" t="s">
        <v>50</v>
      </c>
      <c r="B50" s="1" t="s">
        <v>63</v>
      </c>
      <c r="C50" s="13">
        <f>H17/(C19/365)</f>
        <v>39.54166666666667</v>
      </c>
      <c r="D50" s="13">
        <f>I17/(D19/365)</f>
        <v>60.833333333333336</v>
      </c>
      <c r="E50" s="13">
        <f>J17/(E19/365)</f>
        <v>91.24999999999999</v>
      </c>
      <c r="F50" s="13">
        <f>K17/(F19/365)</f>
        <v>60.833333333333336</v>
      </c>
    </row>
    <row r="51" spans="1:6" ht="12.75">
      <c r="A51" s="1" t="s">
        <v>51</v>
      </c>
      <c r="B51" s="1" t="s">
        <v>62</v>
      </c>
      <c r="C51" s="21">
        <f>C19/H18</f>
        <v>5.333333333333333</v>
      </c>
      <c r="D51" s="21">
        <f>D19/I18</f>
        <v>5.387205387205387</v>
      </c>
      <c r="E51" s="21">
        <f>E19/J18</f>
        <v>5.440511408072359</v>
      </c>
      <c r="F51" s="21">
        <f>F19/K18</f>
        <v>5.493235938260148</v>
      </c>
    </row>
    <row r="52" spans="1:6" ht="12.75">
      <c r="A52" s="1" t="s">
        <v>64</v>
      </c>
      <c r="B52" s="1" t="s">
        <v>63</v>
      </c>
      <c r="C52" s="9">
        <f>H18/(C19/365)</f>
        <v>68.4375</v>
      </c>
      <c r="D52" s="9">
        <f>I18/(D19/365)</f>
        <v>67.75312500000001</v>
      </c>
      <c r="E52" s="9">
        <f>J18/(E19/365)</f>
        <v>67.08928125</v>
      </c>
      <c r="F52" s="9">
        <f>K18/(F19/365)</f>
        <v>66.4453528125</v>
      </c>
    </row>
    <row r="53" spans="1:6" ht="12.75">
      <c r="A53" s="1" t="s">
        <v>52</v>
      </c>
      <c r="B53" s="1" t="s">
        <v>62</v>
      </c>
      <c r="C53" s="22">
        <f>C19/(H21+H22)</f>
        <v>2.1052631578947367</v>
      </c>
      <c r="D53" s="22">
        <f>D19/(I21+I22)</f>
        <v>2.796441717791411</v>
      </c>
      <c r="E53" s="22">
        <f>E19/(J21+J22)</f>
        <v>3.741859007795889</v>
      </c>
      <c r="F53" s="22">
        <f>F19/(K21+K22)</f>
        <v>5.140765478831558</v>
      </c>
    </row>
    <row r="54" spans="1:6" ht="12.75">
      <c r="A54" s="1" t="s">
        <v>53</v>
      </c>
      <c r="B54" s="1" t="s">
        <v>62</v>
      </c>
      <c r="C54" s="21">
        <f>C19/H23</f>
        <v>1.0541480726659405</v>
      </c>
      <c r="D54" s="21">
        <f>D19/I23</f>
        <v>1.0959013782524991</v>
      </c>
      <c r="E54" s="21">
        <f>E19/J23</f>
        <v>1.1206370811362663</v>
      </c>
      <c r="F54" s="21">
        <f>F19/K23</f>
        <v>1.17834173763242</v>
      </c>
    </row>
    <row r="56" ht="12.75">
      <c r="A56" s="14" t="s">
        <v>54</v>
      </c>
    </row>
    <row r="57" spans="1:6" ht="12.75">
      <c r="A57" s="1" t="s">
        <v>55</v>
      </c>
      <c r="C57" s="8">
        <f>H19/(H25+H26)</f>
        <v>4.372</v>
      </c>
      <c r="D57" s="8">
        <f>I19/(I25+I26)</f>
        <v>4.757849541876686</v>
      </c>
      <c r="E57" s="8">
        <f>J19/(J25+J26)</f>
        <v>4.907067985223538</v>
      </c>
      <c r="F57" s="8">
        <f>K19/(K25+K26)</f>
        <v>5.821558509290736</v>
      </c>
    </row>
    <row r="58" spans="1:6" ht="12.75">
      <c r="A58" s="1" t="s">
        <v>56</v>
      </c>
      <c r="C58" s="8">
        <f>(H19-H18)/(H25+H26)</f>
        <v>2.6412307692307695</v>
      </c>
      <c r="D58" s="8">
        <f>(I19-I18)/(I25+I26)</f>
        <v>3.1662365416841567</v>
      </c>
      <c r="E58" s="8">
        <f>(J19-J18)/(J25+J26)</f>
        <v>3.4641854864135055</v>
      </c>
      <c r="F58" s="8">
        <f>(K19-K18)/(K25+K26)</f>
        <v>4.201431173704204</v>
      </c>
    </row>
    <row r="60" ht="12.75">
      <c r="A60" s="14" t="s">
        <v>57</v>
      </c>
    </row>
    <row r="61" spans="1:6" ht="12.75">
      <c r="A61" s="1" t="s">
        <v>58</v>
      </c>
      <c r="C61" s="6">
        <f>(H25+H26+H27)/(H29+H30)</f>
        <v>0.6070359704105257</v>
      </c>
      <c r="D61" s="6">
        <f>(I25+I26+I27)/(I29+I30)</f>
        <v>0.4595933940095208</v>
      </c>
      <c r="E61" s="6">
        <f>(J25+J26+J27)/(J29+J30)</f>
        <v>0.34595155001337835</v>
      </c>
      <c r="F61" s="6">
        <f>(K25+K26+K27)/(K29+K30)</f>
        <v>0.22619602962612115</v>
      </c>
    </row>
    <row r="62" spans="1:6" ht="12.75">
      <c r="A62" s="1" t="s">
        <v>59</v>
      </c>
      <c r="B62" s="1" t="s">
        <v>62</v>
      </c>
      <c r="C62" s="21">
        <f>C26/C28</f>
        <v>7.142857142857143</v>
      </c>
      <c r="D62" s="21">
        <f>D26/D28</f>
        <v>10.933761782193914</v>
      </c>
      <c r="E62" s="21">
        <f>E26/E28</f>
        <v>17.88110556353944</v>
      </c>
      <c r="F62" s="21">
        <f>F26/F28</f>
        <v>35.50240373739617</v>
      </c>
    </row>
    <row r="63" spans="1:6" ht="12.75">
      <c r="A63" s="1" t="s">
        <v>60</v>
      </c>
      <c r="C63" s="23" t="s">
        <v>65</v>
      </c>
      <c r="D63" s="23" t="s">
        <v>65</v>
      </c>
      <c r="E63" s="23" t="s">
        <v>65</v>
      </c>
      <c r="F63" s="23" t="s">
        <v>65</v>
      </c>
    </row>
    <row r="65" ht="12.75">
      <c r="A65" s="14" t="s">
        <v>61</v>
      </c>
    </row>
    <row r="66" spans="1:6" ht="12.75">
      <c r="A66" s="1" t="s">
        <v>67</v>
      </c>
      <c r="C66" s="6">
        <f>C31/C19</f>
        <v>0.0903</v>
      </c>
      <c r="D66" s="6">
        <f>D31/D19</f>
        <v>0.10716231298526309</v>
      </c>
      <c r="E66" s="6">
        <f>E31/E19</f>
        <v>0.12325891008789637</v>
      </c>
      <c r="F66" s="6">
        <f>F31/F19</f>
        <v>0.138817771795854</v>
      </c>
    </row>
    <row r="67" spans="1:6" ht="12.75">
      <c r="A67" s="1" t="s">
        <v>66</v>
      </c>
      <c r="C67" s="19">
        <f>C19/H23</f>
        <v>1.0541480726659405</v>
      </c>
      <c r="D67" s="19">
        <f>D19/I23</f>
        <v>1.0959013782524991</v>
      </c>
      <c r="E67" s="19">
        <f>E19/J23</f>
        <v>1.1206370811362663</v>
      </c>
      <c r="F67" s="19">
        <f>F19/K23</f>
        <v>1.17834173763242</v>
      </c>
    </row>
    <row r="68" ht="12.75">
      <c r="A68" s="1" t="s">
        <v>68</v>
      </c>
    </row>
    <row r="69" spans="1:6" ht="12.75">
      <c r="A69" s="1" t="s">
        <v>45</v>
      </c>
      <c r="C69" s="6">
        <f>C66*C67</f>
        <v>0.09518957096173443</v>
      </c>
      <c r="D69" s="6">
        <f>D66*D67</f>
        <v>0.1174393264972755</v>
      </c>
      <c r="E69" s="6">
        <f>E66*E67</f>
        <v>0.13812850522493766</v>
      </c>
      <c r="F69" s="6">
        <f>F66*F67</f>
        <v>0.16357477443218732</v>
      </c>
    </row>
    <row r="70" spans="1:6" ht="12.75">
      <c r="A70" s="1" t="s">
        <v>69</v>
      </c>
      <c r="C70" s="6">
        <f>(H25+H26+H27)/(H29+H30)</f>
        <v>0.6070359704105257</v>
      </c>
      <c r="D70" s="6">
        <f>(I25+I26+I27)/(I29+I30)</f>
        <v>0.4595933940095208</v>
      </c>
      <c r="E70" s="6">
        <f>(J25+J26+J27)/(J29+J30)</f>
        <v>0.34595155001337835</v>
      </c>
      <c r="F70" s="6">
        <f>(K25+K26+K27)/(K29+K30)</f>
        <v>0.22619602962612115</v>
      </c>
    </row>
    <row r="71" spans="3:6" ht="12.75">
      <c r="C71" s="6"/>
      <c r="D71" s="6"/>
      <c r="E71" s="6"/>
      <c r="F71" s="6"/>
    </row>
    <row r="72" spans="1:6" ht="12.75">
      <c r="A72" s="1" t="s">
        <v>70</v>
      </c>
      <c r="C72" s="6"/>
      <c r="D72" s="6"/>
      <c r="E72" s="6"/>
      <c r="F72" s="6"/>
    </row>
    <row r="73" spans="1:6" ht="12.75">
      <c r="A73" s="1" t="s">
        <v>46</v>
      </c>
      <c r="C73" s="6">
        <f>C69/(1-C70)</f>
        <v>0.24223481996858096</v>
      </c>
      <c r="D73" s="6">
        <f>D69/(1-D70)</f>
        <v>0.21731660049200902</v>
      </c>
      <c r="E73" s="6">
        <f>E69/(1-E70)</f>
        <v>0.2111900199866891</v>
      </c>
      <c r="F73" s="6">
        <f>F69/(1-F70)</f>
        <v>0.21139045636216225</v>
      </c>
    </row>
    <row r="74" spans="3:6" ht="12.75">
      <c r="C74" s="20"/>
      <c r="D74" s="20"/>
      <c r="E74" s="20"/>
      <c r="F74" s="20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Jnavarro</dc:creator>
  <cp:keywords/>
  <dc:description/>
  <cp:lastModifiedBy>JNavarro</cp:lastModifiedBy>
  <dcterms:created xsi:type="dcterms:W3CDTF">2012-03-15T01:30:18Z</dcterms:created>
  <dcterms:modified xsi:type="dcterms:W3CDTF">2022-02-16T03:50:31Z</dcterms:modified>
  <cp:category/>
  <cp:version/>
  <cp:contentType/>
  <cp:contentStatus/>
</cp:coreProperties>
</file>